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4635" firstSheet="1" activeTab="5"/>
  </bookViews>
  <sheets>
    <sheet name="Gross without fractions  " sheetId="6" r:id="rId1"/>
    <sheet name="Gross with fractions " sheetId="2" r:id="rId2"/>
    <sheet name="Gross and Net" sheetId="1" r:id="rId3"/>
    <sheet name="one client in account T2S" sheetId="3" r:id="rId4"/>
    <sheet name="Example with RDUQ" sheetId="4" r:id="rId5"/>
    <sheet name="Justification " sheetId="5" r:id="rId6"/>
  </sheets>
  <calcPr calcId="145621"/>
</workbook>
</file>

<file path=xl/calcChain.xml><?xml version="1.0" encoding="utf-8"?>
<calcChain xmlns="http://schemas.openxmlformats.org/spreadsheetml/2006/main">
  <c r="G33" i="4" l="1"/>
  <c r="D29" i="4"/>
  <c r="E33" i="4"/>
  <c r="F72" i="5" l="1"/>
  <c r="E72" i="5"/>
  <c r="C72" i="5"/>
  <c r="B72" i="5"/>
  <c r="F65" i="5"/>
  <c r="E65" i="5"/>
  <c r="C65" i="5"/>
  <c r="B65" i="5"/>
  <c r="B60" i="5"/>
  <c r="D55" i="5"/>
  <c r="B55" i="5"/>
  <c r="E55" i="5" s="1"/>
  <c r="D48" i="5"/>
  <c r="B48" i="5"/>
  <c r="E48" i="5" s="1"/>
  <c r="B43" i="5"/>
  <c r="C21" i="5"/>
  <c r="E21" i="5" s="1"/>
  <c r="J20" i="5"/>
  <c r="I20" i="5"/>
  <c r="H20" i="5"/>
  <c r="F20" i="5"/>
  <c r="B20" i="5"/>
  <c r="B22" i="5" s="1"/>
  <c r="C19" i="5"/>
  <c r="E19" i="5" s="1"/>
  <c r="E18" i="5"/>
  <c r="G18" i="5" s="1"/>
  <c r="G20" i="5" s="1"/>
  <c r="C18" i="5"/>
  <c r="E17" i="5"/>
  <c r="C17" i="5"/>
  <c r="C20" i="5" s="1"/>
  <c r="H16" i="5"/>
  <c r="F16" i="5"/>
  <c r="D16" i="5"/>
  <c r="B16" i="5"/>
  <c r="E15" i="5"/>
  <c r="G15" i="5" s="1"/>
  <c r="I15" i="5" s="1"/>
  <c r="C15" i="5"/>
  <c r="J15" i="5" s="1"/>
  <c r="C14" i="5"/>
  <c r="B6" i="5"/>
  <c r="F33" i="4"/>
  <c r="D33" i="4"/>
  <c r="E29" i="4"/>
  <c r="C29" i="4"/>
  <c r="C33" i="4" s="1"/>
  <c r="B29" i="4"/>
  <c r="B21" i="4"/>
  <c r="B33" i="4" s="1"/>
  <c r="G20" i="4"/>
  <c r="D20" i="4"/>
  <c r="B20" i="4"/>
  <c r="F19" i="4"/>
  <c r="H19" i="4" s="1"/>
  <c r="I19" i="4" s="1"/>
  <c r="C19" i="4"/>
  <c r="C18" i="4"/>
  <c r="I18" i="4" s="1"/>
  <c r="C17" i="4"/>
  <c r="C16" i="4"/>
  <c r="C20" i="4" s="1"/>
  <c r="D54" i="3"/>
  <c r="B54" i="3"/>
  <c r="B51" i="3"/>
  <c r="H41" i="3"/>
  <c r="E40" i="3"/>
  <c r="G40" i="3" s="1"/>
  <c r="C40" i="3"/>
  <c r="H15" i="3"/>
  <c r="E15" i="3"/>
  <c r="C15" i="3"/>
  <c r="B15" i="3"/>
  <c r="B16" i="3" s="1"/>
  <c r="E14" i="3"/>
  <c r="G14" i="3" s="1"/>
  <c r="C14" i="3"/>
  <c r="B106" i="1"/>
  <c r="E99" i="1"/>
  <c r="B79" i="1"/>
  <c r="C78" i="1"/>
  <c r="E78" i="1" s="1"/>
  <c r="J77" i="1"/>
  <c r="I77" i="1"/>
  <c r="H77" i="1"/>
  <c r="F77" i="1"/>
  <c r="D77" i="1"/>
  <c r="B77" i="1"/>
  <c r="C76" i="1"/>
  <c r="C77" i="1" s="1"/>
  <c r="J75" i="1"/>
  <c r="I75" i="1"/>
  <c r="H75" i="1"/>
  <c r="F75" i="1"/>
  <c r="D75" i="1"/>
  <c r="B75" i="1"/>
  <c r="C74" i="1"/>
  <c r="C75" i="1" s="1"/>
  <c r="J73" i="1"/>
  <c r="I73" i="1"/>
  <c r="H73" i="1"/>
  <c r="F73" i="1"/>
  <c r="D73" i="1"/>
  <c r="B73" i="1"/>
  <c r="C72" i="1"/>
  <c r="C73" i="1" s="1"/>
  <c r="J71" i="1"/>
  <c r="I71" i="1"/>
  <c r="H71" i="1"/>
  <c r="F71" i="1"/>
  <c r="D71" i="1"/>
  <c r="B71" i="1"/>
  <c r="C70" i="1"/>
  <c r="C71" i="1" s="1"/>
  <c r="C45" i="1"/>
  <c r="E45" i="1" s="1"/>
  <c r="J44" i="1"/>
  <c r="I44" i="1"/>
  <c r="H44" i="1"/>
  <c r="F44" i="1"/>
  <c r="B44" i="1"/>
  <c r="E43" i="1"/>
  <c r="G43" i="1" s="1"/>
  <c r="C43" i="1"/>
  <c r="C42" i="1"/>
  <c r="C44" i="1" s="1"/>
  <c r="E41" i="1"/>
  <c r="G41" i="1" s="1"/>
  <c r="C41" i="1"/>
  <c r="J40" i="1"/>
  <c r="I40" i="1"/>
  <c r="H40" i="1"/>
  <c r="F40" i="1"/>
  <c r="D40" i="1"/>
  <c r="B40" i="1"/>
  <c r="B46" i="1" s="1"/>
  <c r="E39" i="1"/>
  <c r="E40" i="1" s="1"/>
  <c r="C39" i="1"/>
  <c r="C40" i="1" s="1"/>
  <c r="C19" i="1"/>
  <c r="E19" i="1" s="1"/>
  <c r="B18" i="1"/>
  <c r="B20" i="1" s="1"/>
  <c r="E17" i="1"/>
  <c r="G17" i="1" s="1"/>
  <c r="C17" i="1"/>
  <c r="C16" i="1"/>
  <c r="E16" i="1" s="1"/>
  <c r="G16" i="1" s="1"/>
  <c r="E15" i="1"/>
  <c r="G15" i="1" s="1"/>
  <c r="C15" i="1"/>
  <c r="C14" i="1"/>
  <c r="C18" i="1" s="1"/>
  <c r="B4" i="1"/>
  <c r="E70" i="2"/>
  <c r="D49" i="2"/>
  <c r="B49" i="2"/>
  <c r="F48" i="2"/>
  <c r="G48" i="2" s="1"/>
  <c r="C48" i="2"/>
  <c r="H48" i="2" s="1"/>
  <c r="F47" i="2"/>
  <c r="C47" i="2"/>
  <c r="H47" i="2" s="1"/>
  <c r="F46" i="2"/>
  <c r="F49" i="2" s="1"/>
  <c r="B63" i="2" s="1"/>
  <c r="B65" i="2" s="1"/>
  <c r="C46" i="2"/>
  <c r="C49" i="2" s="1"/>
  <c r="D45" i="2"/>
  <c r="C45" i="2"/>
  <c r="B45" i="2"/>
  <c r="F44" i="2"/>
  <c r="C44" i="2"/>
  <c r="B20" i="2"/>
  <c r="B34" i="2" s="1"/>
  <c r="D18" i="2"/>
  <c r="B18" i="2"/>
  <c r="G17" i="2"/>
  <c r="F17" i="2"/>
  <c r="C17" i="2"/>
  <c r="G16" i="2"/>
  <c r="F16" i="2"/>
  <c r="C16" i="2"/>
  <c r="G15" i="2"/>
  <c r="F15" i="2"/>
  <c r="C15" i="2"/>
  <c r="H15" i="2" s="1"/>
  <c r="G14" i="2"/>
  <c r="F14" i="2"/>
  <c r="F18" i="2" s="1"/>
  <c r="C14" i="2"/>
  <c r="C18" i="2" s="1"/>
  <c r="B4" i="2"/>
  <c r="B109" i="6"/>
  <c r="C99" i="6"/>
  <c r="B99" i="6"/>
  <c r="B97" i="6"/>
  <c r="B89" i="6"/>
  <c r="B91" i="6" s="1"/>
  <c r="B81" i="6"/>
  <c r="F79" i="6"/>
  <c r="C79" i="6"/>
  <c r="F78" i="6"/>
  <c r="C78" i="6"/>
  <c r="H78" i="6" s="1"/>
  <c r="G77" i="6"/>
  <c r="F77" i="6"/>
  <c r="B93" i="6" s="1"/>
  <c r="B95" i="6" s="1"/>
  <c r="C95" i="6" s="1"/>
  <c r="C77" i="6"/>
  <c r="H77" i="6" s="1"/>
  <c r="G76" i="6"/>
  <c r="F76" i="6"/>
  <c r="C76" i="6"/>
  <c r="H76" i="6" s="1"/>
  <c r="D61" i="6"/>
  <c r="E61" i="6" s="1"/>
  <c r="B51" i="6"/>
  <c r="D49" i="6"/>
  <c r="B49" i="6"/>
  <c r="G48" i="6"/>
  <c r="F48" i="6"/>
  <c r="C48" i="6"/>
  <c r="F47" i="6"/>
  <c r="C47" i="6"/>
  <c r="H47" i="6" s="1"/>
  <c r="F46" i="6"/>
  <c r="C46" i="6"/>
  <c r="C49" i="6" s="1"/>
  <c r="F45" i="6"/>
  <c r="B59" i="6" s="1"/>
  <c r="B61" i="6" s="1"/>
  <c r="C61" i="6" s="1"/>
  <c r="D45" i="6"/>
  <c r="C45" i="6"/>
  <c r="B45" i="6"/>
  <c r="H44" i="6"/>
  <c r="H45" i="6" s="1"/>
  <c r="G44" i="6"/>
  <c r="G45" i="6" s="1"/>
  <c r="F44" i="6"/>
  <c r="C44" i="6"/>
  <c r="D18" i="6"/>
  <c r="B18" i="6"/>
  <c r="B20" i="6" s="1"/>
  <c r="B34" i="6" s="1"/>
  <c r="H17" i="6"/>
  <c r="G17" i="6"/>
  <c r="F17" i="6"/>
  <c r="C17" i="6"/>
  <c r="H16" i="6"/>
  <c r="F16" i="6"/>
  <c r="C16" i="6"/>
  <c r="G15" i="6"/>
  <c r="H15" i="6" s="1"/>
  <c r="F15" i="6"/>
  <c r="C15" i="6"/>
  <c r="G14" i="6"/>
  <c r="G18" i="6" s="1"/>
  <c r="F14" i="6"/>
  <c r="F18" i="6" s="1"/>
  <c r="C14" i="6"/>
  <c r="B4" i="6"/>
  <c r="H14" i="6" l="1"/>
  <c r="H18" i="6" s="1"/>
  <c r="B101" i="6"/>
  <c r="B103" i="6" s="1"/>
  <c r="G79" i="6"/>
  <c r="D95" i="6"/>
  <c r="C18" i="6"/>
  <c r="D109" i="6"/>
  <c r="C34" i="2"/>
  <c r="B28" i="2"/>
  <c r="H17" i="2"/>
  <c r="B30" i="3"/>
  <c r="D30" i="3"/>
  <c r="E54" i="3"/>
  <c r="B28" i="6"/>
  <c r="B30" i="6" s="1"/>
  <c r="C34" i="6"/>
  <c r="H48" i="6"/>
  <c r="C91" i="6"/>
  <c r="D99" i="6"/>
  <c r="E99" i="6" s="1"/>
  <c r="G18" i="2"/>
  <c r="H16" i="2"/>
  <c r="F45" i="2"/>
  <c r="B59" i="2" s="1"/>
  <c r="B61" i="2" s="1"/>
  <c r="G44" i="2"/>
  <c r="B51" i="2"/>
  <c r="C63" i="2"/>
  <c r="B34" i="1"/>
  <c r="B65" i="1"/>
  <c r="G41" i="3"/>
  <c r="C54" i="3" s="1"/>
  <c r="I40" i="3"/>
  <c r="I41" i="3" s="1"/>
  <c r="E20" i="5"/>
  <c r="B70" i="6"/>
  <c r="H79" i="6"/>
  <c r="C65" i="2"/>
  <c r="D65" i="2"/>
  <c r="I14" i="3"/>
  <c r="I15" i="3" s="1"/>
  <c r="B24" i="3"/>
  <c r="B26" i="3" s="1"/>
  <c r="G15" i="3"/>
  <c r="C30" i="3" s="1"/>
  <c r="D51" i="3"/>
  <c r="E51" i="3" s="1"/>
  <c r="I17" i="4"/>
  <c r="C43" i="5"/>
  <c r="D43" i="5" s="1"/>
  <c r="E43" i="5" s="1"/>
  <c r="B34" i="5"/>
  <c r="B36" i="5" s="1"/>
  <c r="F49" i="6"/>
  <c r="B63" i="6" s="1"/>
  <c r="B65" i="6" s="1"/>
  <c r="G46" i="6"/>
  <c r="G49" i="6" s="1"/>
  <c r="H14" i="2"/>
  <c r="H18" i="2" s="1"/>
  <c r="E14" i="1"/>
  <c r="E42" i="1"/>
  <c r="E70" i="1"/>
  <c r="E72" i="1"/>
  <c r="E74" i="1"/>
  <c r="E76" i="1"/>
  <c r="C51" i="3"/>
  <c r="F16" i="4"/>
  <c r="F17" i="4"/>
  <c r="H17" i="4" s="1"/>
  <c r="F18" i="4"/>
  <c r="E14" i="5"/>
  <c r="G46" i="2"/>
  <c r="G39" i="1"/>
  <c r="G40" i="1" s="1"/>
  <c r="B54" i="1" s="1"/>
  <c r="B56" i="1" s="1"/>
  <c r="C16" i="5"/>
  <c r="C56" i="1" l="1"/>
  <c r="D56" i="1" s="1"/>
  <c r="E77" i="1"/>
  <c r="G76" i="1"/>
  <c r="G77" i="1" s="1"/>
  <c r="B30" i="2"/>
  <c r="D34" i="2"/>
  <c r="E95" i="6"/>
  <c r="G49" i="2"/>
  <c r="H46" i="2"/>
  <c r="H49" i="2" s="1"/>
  <c r="D63" i="2" s="1"/>
  <c r="E75" i="1"/>
  <c r="G74" i="1"/>
  <c r="G75" i="1" s="1"/>
  <c r="B95" i="1" s="1"/>
  <c r="B97" i="1" s="1"/>
  <c r="D65" i="6"/>
  <c r="C65" i="6"/>
  <c r="C70" i="6" s="1"/>
  <c r="D70" i="6"/>
  <c r="C109" i="6"/>
  <c r="C30" i="6"/>
  <c r="D30" i="6" s="1"/>
  <c r="E30" i="6" s="1"/>
  <c r="E34" i="6" s="1"/>
  <c r="E30" i="3"/>
  <c r="H46" i="6"/>
  <c r="H49" i="6" s="1"/>
  <c r="F20" i="4"/>
  <c r="H16" i="4"/>
  <c r="E73" i="1"/>
  <c r="G72" i="1"/>
  <c r="G73" i="1" s="1"/>
  <c r="B91" i="1" s="1"/>
  <c r="B93" i="1" s="1"/>
  <c r="C36" i="5"/>
  <c r="D36" i="5"/>
  <c r="E36" i="5" s="1"/>
  <c r="B70" i="2"/>
  <c r="D70" i="2"/>
  <c r="D91" i="6"/>
  <c r="E91" i="6" s="1"/>
  <c r="D103" i="6"/>
  <c r="E103" i="6" s="1"/>
  <c r="E109" i="6" s="1"/>
  <c r="C103" i="6"/>
  <c r="G14" i="5"/>
  <c r="E16" i="5"/>
  <c r="E71" i="1"/>
  <c r="G70" i="1"/>
  <c r="G71" i="1" s="1"/>
  <c r="B87" i="1" s="1"/>
  <c r="D34" i="6"/>
  <c r="F34" i="6" s="1"/>
  <c r="C26" i="3"/>
  <c r="D26" i="3"/>
  <c r="E26" i="3" s="1"/>
  <c r="J14" i="3"/>
  <c r="J15" i="3" s="1"/>
  <c r="G45" i="2"/>
  <c r="H44" i="2"/>
  <c r="H45" i="2" s="1"/>
  <c r="J40" i="3"/>
  <c r="J41" i="3" s="1"/>
  <c r="C61" i="2"/>
  <c r="C70" i="2" s="1"/>
  <c r="E18" i="1"/>
  <c r="G14" i="1"/>
  <c r="G18" i="1" s="1"/>
  <c r="E44" i="1"/>
  <c r="G42" i="1"/>
  <c r="G44" i="1" s="1"/>
  <c r="F70" i="6" l="1"/>
  <c r="E65" i="1"/>
  <c r="E56" i="1"/>
  <c r="G16" i="5"/>
  <c r="I14" i="5"/>
  <c r="H20" i="4"/>
  <c r="I16" i="4"/>
  <c r="I20" i="4" s="1"/>
  <c r="B99" i="1"/>
  <c r="B101" i="1" s="1"/>
  <c r="C106" i="1"/>
  <c r="D61" i="2"/>
  <c r="E61" i="2" s="1"/>
  <c r="B89" i="1"/>
  <c r="D106" i="1"/>
  <c r="F70" i="2"/>
  <c r="B28" i="1"/>
  <c r="C34" i="1"/>
  <c r="D93" i="1"/>
  <c r="E93" i="1" s="1"/>
  <c r="C93" i="1"/>
  <c r="F109" i="6"/>
  <c r="E70" i="6"/>
  <c r="E65" i="6"/>
  <c r="C30" i="2"/>
  <c r="D30" i="2"/>
  <c r="E30" i="2" s="1"/>
  <c r="E34" i="2" s="1"/>
  <c r="F34" i="2" s="1"/>
  <c r="C97" i="1"/>
  <c r="D97" i="1" s="1"/>
  <c r="E97" i="1" s="1"/>
  <c r="C65" i="1"/>
  <c r="B58" i="1"/>
  <c r="I16" i="5" l="1"/>
  <c r="J14" i="5"/>
  <c r="J16" i="5" s="1"/>
  <c r="D101" i="1"/>
  <c r="E101" i="1" s="1"/>
  <c r="C101" i="1"/>
  <c r="C60" i="5"/>
  <c r="D60" i="5" s="1"/>
  <c r="E60" i="5" s="1"/>
  <c r="B30" i="5"/>
  <c r="B32" i="5" s="1"/>
  <c r="B60" i="1"/>
  <c r="D65" i="1"/>
  <c r="B30" i="1"/>
  <c r="D34" i="1"/>
  <c r="D89" i="1"/>
  <c r="C89" i="1"/>
  <c r="F65" i="1"/>
  <c r="E106" i="1" l="1"/>
  <c r="F106" i="1" s="1"/>
  <c r="E89" i="1"/>
  <c r="C60" i="1"/>
  <c r="D60" i="1"/>
  <c r="E60" i="1" s="1"/>
  <c r="C32" i="5"/>
  <c r="D32" i="5" s="1"/>
  <c r="E32" i="5" s="1"/>
  <c r="C30" i="1"/>
  <c r="D30" i="1" s="1"/>
  <c r="E34" i="1" l="1"/>
  <c r="F34" i="1" s="1"/>
  <c r="E30" i="1"/>
</calcChain>
</file>

<file path=xl/sharedStrings.xml><?xml version="1.0" encoding="utf-8"?>
<sst xmlns="http://schemas.openxmlformats.org/spreadsheetml/2006/main" count="739" uniqueCount="138">
  <si>
    <t xml:space="preserve">Ratio  </t>
  </si>
  <si>
    <t>Euros</t>
  </si>
  <si>
    <t>Soulte</t>
  </si>
  <si>
    <t>+/-</t>
  </si>
  <si>
    <t>Client A PEA</t>
  </si>
  <si>
    <t>Inférieur</t>
  </si>
  <si>
    <t>Client B</t>
  </si>
  <si>
    <t>Supérieur</t>
  </si>
  <si>
    <t>Client C</t>
  </si>
  <si>
    <t>Client D</t>
  </si>
  <si>
    <t>Total</t>
  </si>
  <si>
    <t>Client E</t>
  </si>
  <si>
    <t>Espèces</t>
  </si>
  <si>
    <t>     0,00</t>
  </si>
  <si>
    <t>QINS</t>
  </si>
  <si>
    <t>RDUQ</t>
  </si>
  <si>
    <t>MT 565  Round up</t>
  </si>
  <si>
    <t>Non renseigné</t>
  </si>
  <si>
    <t>Calcul Euroclear</t>
  </si>
  <si>
    <t>Paiement direct</t>
  </si>
  <si>
    <t>Résultat</t>
  </si>
  <si>
    <t>Nbre de titres entiers</t>
  </si>
  <si>
    <t xml:space="preserve">Fraction </t>
  </si>
  <si>
    <t>Indemnisation</t>
  </si>
  <si>
    <t xml:space="preserve">Indemnisation </t>
  </si>
  <si>
    <t>MT 565  Round down</t>
  </si>
  <si>
    <t>TOTAL</t>
  </si>
  <si>
    <t>29-(315*0,55/5,5)</t>
  </si>
  <si>
    <t xml:space="preserve">Total </t>
  </si>
  <si>
    <t xml:space="preserve">Client A </t>
  </si>
  <si>
    <t>11-(125*0,55/5,5)</t>
  </si>
  <si>
    <t>---------------------------------------------------------------------------------------------------------------------------------------------------------------------------------------------------------------------------------------</t>
  </si>
  <si>
    <t>10*5,5/0,55  </t>
  </si>
  <si>
    <t>EXAMPLE 1</t>
  </si>
  <si>
    <t>Rights</t>
  </si>
  <si>
    <t>share</t>
  </si>
  <si>
    <t>Coupon Gross price</t>
  </si>
  <si>
    <t>Subscription price</t>
  </si>
  <si>
    <t>Client A PEA (*)</t>
  </si>
  <si>
    <t>(*) PEA is a specific account dedicated to retail clients with favorable tax treatments, here for French retails banks</t>
  </si>
  <si>
    <t>Dividend amount</t>
  </si>
  <si>
    <t>Gross</t>
  </si>
  <si>
    <t>Amount of dividend invests in securities</t>
  </si>
  <si>
    <t>Option made by client</t>
  </si>
  <si>
    <t>Quantity of shares</t>
  </si>
  <si>
    <t>Quantity of Rights</t>
  </si>
  <si>
    <t xml:space="preserve">Invested Amount </t>
  </si>
  <si>
    <t>Round Down</t>
  </si>
  <si>
    <t>Round Up</t>
  </si>
  <si>
    <t>Cash</t>
  </si>
  <si>
    <t>Global</t>
  </si>
  <si>
    <t>Client E (cash option)</t>
  </si>
  <si>
    <t>Global quantity of rights at T2S/CSD account level</t>
  </si>
  <si>
    <t>Global Round Up option</t>
  </si>
  <si>
    <t>Calculated quantity of rights</t>
  </si>
  <si>
    <t>quantity of new shares X subscription price/Dividend Price</t>
  </si>
  <si>
    <t>Custodian calculation</t>
  </si>
  <si>
    <t>Information (narrative)</t>
  </si>
  <si>
    <t>Euroclear calculation</t>
  </si>
  <si>
    <t>Quantity of shares (full number)</t>
  </si>
  <si>
    <t>At custodian level</t>
  </si>
  <si>
    <t>Gross dividend amount</t>
  </si>
  <si>
    <t>Direct Payment</t>
  </si>
  <si>
    <t>balance checking</t>
  </si>
  <si>
    <t>Calculation</t>
  </si>
  <si>
    <t>global quantity of rights * dividend price</t>
  </si>
  <si>
    <t>Quantity of new securities  X subscription price</t>
  </si>
  <si>
    <t xml:space="preserve">Total number of Rights - quantity of rights of securities option X dividend Price </t>
  </si>
  <si>
    <t>fraction of new securities X subscription price/dividend price</t>
  </si>
  <si>
    <t>global amount - (re invested amount + direct payment)</t>
  </si>
  <si>
    <t>results</t>
  </si>
  <si>
    <t>Results</t>
  </si>
  <si>
    <t>Euroclear Calculation</t>
  </si>
  <si>
    <t>CSD PARTICIPANT OR CUSTODIAN SENDS ONE GLOBAL MT565 PER T2S/CSD SECURITIES ACCOUNT</t>
  </si>
  <si>
    <t>CSD PARTICIPANT OR CUSTODIAN SENDS ONE MT565 PER CLIENT FOR A GIVEN T2S/CSD ACCOUNT</t>
  </si>
  <si>
    <t>Résult</t>
  </si>
  <si>
    <t>EXAMPLE 2</t>
  </si>
  <si>
    <t>Custodian processing Securities Option Gross or Net with options Round Up and Down</t>
  </si>
  <si>
    <t>Custodian processing Securities Option Gross with options Round Up and Down</t>
  </si>
  <si>
    <t>Tax rates</t>
  </si>
  <si>
    <t>Soulte +/-</t>
  </si>
  <si>
    <t xml:space="preserve">Quantity of shares (demand) </t>
  </si>
  <si>
    <t>Securities in addition</t>
  </si>
  <si>
    <t>Round down</t>
  </si>
  <si>
    <t>Round up</t>
  </si>
  <si>
    <t>total</t>
  </si>
  <si>
    <t>Global immediate round down</t>
  </si>
  <si>
    <t>Global round up</t>
  </si>
  <si>
    <t>round down</t>
  </si>
  <si>
    <t>round up</t>
  </si>
  <si>
    <t>cash</t>
  </si>
  <si>
    <t>Quantity of rights</t>
  </si>
  <si>
    <t>tax rate</t>
  </si>
  <si>
    <t>invested dividend amount</t>
  </si>
  <si>
    <t>option made by client</t>
  </si>
  <si>
    <t>shares requested by client</t>
  </si>
  <si>
    <t>Re investment Amount</t>
  </si>
  <si>
    <t>CSD PARTICIPANT OR CUSTODIAN SENDS ONE MT565 PER EACH OPTION PER T2S/CSD account</t>
  </si>
  <si>
    <t>( quantity of shares requested by clients - quantity of shares with rounding down)</t>
  </si>
  <si>
    <t>calculation</t>
  </si>
  <si>
    <t>total amount - (re invested amount + direct payment amount)</t>
  </si>
  <si>
    <t>EXAMPLE 3</t>
  </si>
  <si>
    <t>Custodian processing Securities Option Net with options Round Up and Down (one client in CSD/T2S account)</t>
  </si>
  <si>
    <t>New securities fraction indemnification</t>
  </si>
  <si>
    <t xml:space="preserve"> total Amount- (Re invested amount + direct payment amount)</t>
  </si>
  <si>
    <t>RDUQ subscription</t>
  </si>
  <si>
    <t>RDUQ X subscription price</t>
  </si>
  <si>
    <t>EXAMPLE 4</t>
  </si>
  <si>
    <t>(quantity of shares * suscription price / dividend price)</t>
  </si>
  <si>
    <t>Today</t>
  </si>
  <si>
    <t>Fax déposit round down</t>
  </si>
  <si>
    <t>quantity of rights</t>
  </si>
  <si>
    <t>gross dividend amount</t>
  </si>
  <si>
    <t xml:space="preserve">quantity of shares requested by clients </t>
  </si>
  <si>
    <t>reinvesment dividend amount</t>
  </si>
  <si>
    <t xml:space="preserve">soulte </t>
  </si>
  <si>
    <t>Tomorrow</t>
  </si>
  <si>
    <t>If QINS equal quantity of rights presented by clients</t>
  </si>
  <si>
    <t>MT565</t>
  </si>
  <si>
    <t>If QINS equal calculted quantity of rights</t>
  </si>
  <si>
    <t>Fax déposit round UP</t>
  </si>
  <si>
    <t>Client Z</t>
  </si>
  <si>
    <t xml:space="preserve">New Share </t>
  </si>
  <si>
    <t xml:space="preserve"> 1 Share</t>
  </si>
  <si>
    <t>IMPORTANT : Quantity of rights in T2S account is  Is insufficient for the number of new shares  requested</t>
  </si>
  <si>
    <r>
      <t xml:space="preserve">For example : Quantity  in T2S account equal </t>
    </r>
    <r>
      <rPr>
        <b/>
        <sz val="9"/>
        <color rgb="FFFF0000"/>
        <rFont val="Verdana"/>
        <family val="2"/>
      </rPr>
      <t>315</t>
    </r>
    <r>
      <rPr>
        <sz val="9"/>
        <color rgb="FFFF0000"/>
        <rFont val="Verdana"/>
        <family val="2"/>
      </rPr>
      <t xml:space="preserve"> and Quantity of shares equal </t>
    </r>
    <r>
      <rPr>
        <b/>
        <sz val="9"/>
        <color rgb="FFFF0000"/>
        <rFont val="Verdana"/>
        <family val="2"/>
      </rPr>
      <t>33</t>
    </r>
    <r>
      <rPr>
        <sz val="9"/>
        <color rgb="FFFF0000"/>
        <rFont val="Verdana"/>
        <family val="2"/>
      </rPr>
      <t xml:space="preserve">  A number of rights equal to </t>
    </r>
    <r>
      <rPr>
        <b/>
        <sz val="9"/>
        <color rgb="FFFF0000"/>
        <rFont val="Verdana"/>
        <family val="2"/>
      </rPr>
      <t>330</t>
    </r>
  </si>
  <si>
    <t>Justification of the calculation of the number of rights according to the number of shares requested by the clients</t>
  </si>
  <si>
    <t>Exceptionnel case of Round Up Quantity with RDUQ</t>
  </si>
  <si>
    <t>Supérieur (RDUP)</t>
  </si>
  <si>
    <t xml:space="preserve"> </t>
  </si>
  <si>
    <t>fraction of new securities X subscription price</t>
  </si>
  <si>
    <t>(quantity of shares requested by clients - quantity of shares with rounding down)</t>
  </si>
  <si>
    <t>(quantity of shares requested by clients - quantity of shares with rounding up)</t>
  </si>
  <si>
    <t>New shares 
(Round Up)</t>
  </si>
  <si>
    <t>Indemnification</t>
  </si>
  <si>
    <t>Calculation of new shares: Quantity of rights X subscription price/Dividend Price</t>
  </si>
  <si>
    <t>Global SECU - BUYU option</t>
  </si>
  <si>
    <t>total amount + indemnification 
- (re invested amount + direct payment amount + payment of new securities)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</si>
</sst>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i/>
      <sz val="9"/>
      <color theme="1"/>
      <name val="Verdana"/>
      <family val="2"/>
    </font>
    <font>
      <sz val="14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6"/>
      <color rgb="FF222222"/>
      <name val="Verdana"/>
      <family val="2"/>
    </font>
    <font>
      <sz val="9"/>
      <color theme="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9" fontId="1" fillId="0" borderId="8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2" fillId="0" borderId="8" xfId="0" quotePrefix="1" applyNumberFormat="1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9" fontId="1" fillId="0" borderId="8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8" xfId="0" quotePrefix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0" fontId="5" fillId="0" borderId="0" xfId="0" applyFont="1"/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1" fillId="0" borderId="8" xfId="0" applyNumberFormat="1" applyFont="1" applyBorder="1" applyAlignment="1" applyProtection="1">
      <alignment horizontal="center" vertical="center" wrapText="1"/>
    </xf>
    <xf numFmtId="2" fontId="0" fillId="0" borderId="8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7" xfId="0" applyFont="1" applyBorder="1" applyAlignment="1">
      <alignment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2" fontId="0" fillId="3" borderId="0" xfId="0" applyNumberFormat="1" applyFill="1" applyBorder="1"/>
    <xf numFmtId="1" fontId="2" fillId="3" borderId="0" xfId="0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" fillId="4" borderId="0" xfId="0" applyFont="1" applyFill="1"/>
    <xf numFmtId="0" fontId="0" fillId="4" borderId="0" xfId="0" applyFill="1"/>
    <xf numFmtId="0" fontId="0" fillId="4" borderId="15" xfId="0" applyFill="1" applyBorder="1" applyAlignment="1">
      <alignment horizontal="center"/>
    </xf>
    <xf numFmtId="0" fontId="0" fillId="4" borderId="15" xfId="0" applyFill="1" applyBorder="1" applyAlignment="1">
      <alignment horizontal="center" vertical="top" wrapText="1"/>
    </xf>
    <xf numFmtId="2" fontId="0" fillId="4" borderId="15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0" fillId="0" borderId="11" xfId="0" applyBorder="1"/>
    <xf numFmtId="2" fontId="2" fillId="2" borderId="7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Border="1" applyAlignment="1">
      <alignment vertical="center" wrapText="1"/>
    </xf>
    <xf numFmtId="0" fontId="8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2" fillId="5" borderId="7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2" fontId="0" fillId="0" borderId="0" xfId="0" applyNumberFormat="1"/>
    <xf numFmtId="2" fontId="11" fillId="3" borderId="13" xfId="0" applyNumberFormat="1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2" xfId="0" applyFill="1" applyBorder="1"/>
    <xf numFmtId="2" fontId="0" fillId="3" borderId="13" xfId="0" applyNumberFormat="1" applyFill="1" applyBorder="1" applyAlignment="1" applyProtection="1">
      <alignment horizontal="center"/>
    </xf>
    <xf numFmtId="0" fontId="2" fillId="3" borderId="8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995795</xdr:colOff>
      <xdr:row>24</xdr:row>
      <xdr:rowOff>51954</xdr:rowOff>
    </xdr:from>
    <xdr:to>
      <xdr:col>7</xdr:col>
      <xdr:colOff>891887</xdr:colOff>
      <xdr:row>29</xdr:row>
      <xdr:rowOff>43295</xdr:rowOff>
    </xdr:to>
    <xdr:sp macro="" textlink="">
      <xdr:nvSpPr>
        <xdr:cNvPr id="2" name="Bulle ronde 1"/>
        <xdr:cNvSpPr/>
      </xdr:nvSpPr>
      <xdr:spPr>
        <a:xfrm>
          <a:off x="9343159" y="4606636"/>
          <a:ext cx="2346614" cy="891886"/>
        </a:xfrm>
        <a:prstGeom prst="wedgeEllipseCallout">
          <a:avLst>
            <a:gd name="adj1" fmla="val -113646"/>
            <a:gd name="adj2" fmla="val 532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29*6-(317*0,55) ou  0,058333333*6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24</xdr:row>
      <xdr:rowOff>171450</xdr:rowOff>
    </xdr:from>
    <xdr:to>
      <xdr:col>8</xdr:col>
      <xdr:colOff>485775</xdr:colOff>
      <xdr:row>26</xdr:row>
      <xdr:rowOff>123825</xdr:rowOff>
    </xdr:to>
    <xdr:sp macro="" textlink="">
      <xdr:nvSpPr>
        <xdr:cNvPr id="2" name="Bulle ronde 1"/>
        <xdr:cNvSpPr/>
      </xdr:nvSpPr>
      <xdr:spPr>
        <a:xfrm>
          <a:off x="7524750" y="3933825"/>
          <a:ext cx="3162300" cy="666750"/>
        </a:xfrm>
        <a:prstGeom prst="wedgeEllipseCallout">
          <a:avLst>
            <a:gd name="adj1" fmla="val -167073"/>
            <a:gd name="adj2" fmla="val 524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32 New Securities = </a:t>
          </a:r>
          <a:br>
            <a:rPr lang="fr-FR" sz="1100"/>
          </a:br>
          <a:r>
            <a:rPr lang="fr-FR" sz="1100"/>
            <a:t>option</a:t>
          </a:r>
          <a:r>
            <a:rPr lang="fr-FR" sz="1100" baseline="0"/>
            <a:t> SECU - BUYU and 315 rights exercised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1590675</xdr:colOff>
      <xdr:row>48</xdr:row>
      <xdr:rowOff>85726</xdr:rowOff>
    </xdr:from>
    <xdr:to>
      <xdr:col>3</xdr:col>
      <xdr:colOff>2057400</xdr:colOff>
      <xdr:row>51</xdr:row>
      <xdr:rowOff>0</xdr:rowOff>
    </xdr:to>
    <xdr:sp macro="" textlink="">
      <xdr:nvSpPr>
        <xdr:cNvPr id="2" name="Différent de 1"/>
        <xdr:cNvSpPr/>
      </xdr:nvSpPr>
      <xdr:spPr>
        <a:xfrm>
          <a:off x="6772275" y="11106151"/>
          <a:ext cx="466725" cy="361950"/>
        </a:xfrm>
        <a:prstGeom prst="mathNot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1343025</xdr:colOff>
      <xdr:row>65</xdr:row>
      <xdr:rowOff>66676</xdr:rowOff>
    </xdr:from>
    <xdr:to>
      <xdr:col>4</xdr:col>
      <xdr:colOff>1676400</xdr:colOff>
      <xdr:row>67</xdr:row>
      <xdr:rowOff>57150</xdr:rowOff>
    </xdr:to>
    <xdr:sp macro="" textlink="">
      <xdr:nvSpPr>
        <xdr:cNvPr id="3" name="Différent de 2"/>
        <xdr:cNvSpPr/>
      </xdr:nvSpPr>
      <xdr:spPr>
        <a:xfrm>
          <a:off x="8591550" y="13373101"/>
          <a:ext cx="333375" cy="276224"/>
        </a:xfrm>
        <a:prstGeom prst="mathNot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10" zoomScaleNormal="110" workbookViewId="0">
      <selection activeCell="H99" sqref="H99"/>
    </sheetView>
  </sheetViews>
  <sheetFormatPr defaultColWidth="11" defaultRowHeight="11.25" x14ac:dyDescent="0.15"/>
  <cols>
    <col min="1" max="1" width="20" style="63" customWidth="1"/>
    <col min="2" max="2" width="21" style="63" customWidth="1"/>
    <col min="3" max="3" width="20.75" style="63" customWidth="1"/>
    <col min="4" max="4" width="27.375" style="63" customWidth="1"/>
    <col min="5" max="5" width="20.375" style="63" customWidth="1"/>
    <col min="6" max="6" width="21.125" style="63" customWidth="1"/>
    <col min="7" max="7" width="11" style="63"/>
    <col min="8" max="8" width="16.75" style="63" customWidth="1"/>
    <col min="9" max="16384" width="11" style="63"/>
  </cols>
  <sheetData>
    <row r="1" spans="1:8" ht="18" x14ac:dyDescent="0.25">
      <c r="A1" s="110" t="s">
        <v>33</v>
      </c>
      <c r="B1" s="110" t="s">
        <v>78</v>
      </c>
    </row>
    <row r="2" spans="1:8" ht="40.5" customHeight="1" x14ac:dyDescent="0.15">
      <c r="A2" s="53"/>
      <c r="B2" s="184"/>
    </row>
    <row r="3" spans="1:8" ht="12" thickBot="1" x14ac:dyDescent="0.2">
      <c r="A3" s="72"/>
    </row>
    <row r="4" spans="1:8" ht="12" thickBot="1" x14ac:dyDescent="0.2">
      <c r="A4" s="2" t="s">
        <v>0</v>
      </c>
      <c r="B4" s="187">
        <f>B7/B6</f>
        <v>10</v>
      </c>
      <c r="C4" s="3" t="s">
        <v>34</v>
      </c>
      <c r="D4" s="3">
        <v>1</v>
      </c>
      <c r="E4" s="4" t="s">
        <v>35</v>
      </c>
    </row>
    <row r="5" spans="1:8" x14ac:dyDescent="0.15">
      <c r="A5" s="72"/>
    </row>
    <row r="6" spans="1:8" x14ac:dyDescent="0.15">
      <c r="A6" s="111" t="s">
        <v>36</v>
      </c>
      <c r="B6" s="63">
        <v>0.55000000000000004</v>
      </c>
      <c r="C6" s="63" t="s">
        <v>1</v>
      </c>
    </row>
    <row r="7" spans="1:8" x14ac:dyDescent="0.15">
      <c r="A7" s="111" t="s">
        <v>37</v>
      </c>
      <c r="B7" s="185">
        <v>5.5</v>
      </c>
      <c r="C7" s="63" t="s">
        <v>1</v>
      </c>
    </row>
    <row r="8" spans="1:8" x14ac:dyDescent="0.15">
      <c r="A8" s="72"/>
    </row>
    <row r="10" spans="1:8" x14ac:dyDescent="0.15">
      <c r="A10" s="72"/>
    </row>
    <row r="11" spans="1:8" ht="12" thickBot="1" x14ac:dyDescent="0.2">
      <c r="F11" s="5"/>
    </row>
    <row r="12" spans="1:8" x14ac:dyDescent="0.15">
      <c r="A12" s="203"/>
      <c r="B12" s="195" t="s">
        <v>45</v>
      </c>
      <c r="C12" s="64" t="s">
        <v>40</v>
      </c>
      <c r="D12" s="195" t="s">
        <v>42</v>
      </c>
      <c r="E12" s="195" t="s">
        <v>43</v>
      </c>
      <c r="F12" s="190" t="s">
        <v>44</v>
      </c>
      <c r="G12" s="204" t="s">
        <v>46</v>
      </c>
      <c r="H12" s="190" t="s">
        <v>2</v>
      </c>
    </row>
    <row r="13" spans="1:8" ht="12" thickBot="1" x14ac:dyDescent="0.2">
      <c r="A13" s="199"/>
      <c r="B13" s="196"/>
      <c r="C13" s="65" t="s">
        <v>41</v>
      </c>
      <c r="D13" s="196"/>
      <c r="E13" s="196"/>
      <c r="F13" s="191"/>
      <c r="G13" s="205"/>
      <c r="H13" s="191" t="s">
        <v>3</v>
      </c>
    </row>
    <row r="14" spans="1:8" ht="12" thickBot="1" x14ac:dyDescent="0.2">
      <c r="A14" s="112" t="s">
        <v>38</v>
      </c>
      <c r="B14" s="67">
        <v>125</v>
      </c>
      <c r="C14" s="87">
        <f>B14*$B$6</f>
        <v>68.75</v>
      </c>
      <c r="D14" s="87">
        <v>68.75</v>
      </c>
      <c r="E14" s="114" t="s">
        <v>47</v>
      </c>
      <c r="F14" s="67">
        <f>ROUNDDOWN(B14*$B$6/$B$7,0)</f>
        <v>12</v>
      </c>
      <c r="G14" s="86">
        <f>F14*$B$7</f>
        <v>66</v>
      </c>
      <c r="H14" s="11">
        <f>C14-G14</f>
        <v>2.75</v>
      </c>
    </row>
    <row r="15" spans="1:8" ht="12" thickBot="1" x14ac:dyDescent="0.2">
      <c r="A15" s="170" t="s">
        <v>6</v>
      </c>
      <c r="B15" s="67">
        <v>30</v>
      </c>
      <c r="C15" s="87">
        <f t="shared" ref="C15:C17" si="0">B15*$B$6</f>
        <v>16.5</v>
      </c>
      <c r="D15" s="87">
        <v>16.5</v>
      </c>
      <c r="E15" s="114" t="s">
        <v>48</v>
      </c>
      <c r="F15" s="67">
        <f>ROUNDUP(B15*$B$6/$B$7,0)</f>
        <v>3</v>
      </c>
      <c r="G15" s="86">
        <f t="shared" ref="G15:G17" si="1">F15*$B$7</f>
        <v>16.5</v>
      </c>
      <c r="H15" s="11">
        <f t="shared" ref="H15:H17" si="2">C15-G15</f>
        <v>0</v>
      </c>
    </row>
    <row r="16" spans="1:8" ht="12" thickBot="1" x14ac:dyDescent="0.2">
      <c r="A16" s="170" t="s">
        <v>8</v>
      </c>
      <c r="B16" s="67">
        <v>9</v>
      </c>
      <c r="C16" s="87">
        <f t="shared" si="0"/>
        <v>4.95</v>
      </c>
      <c r="D16" s="87">
        <v>4.95</v>
      </c>
      <c r="E16" s="114" t="s">
        <v>48</v>
      </c>
      <c r="F16" s="67">
        <f>ROUNDUP(B16*$B$6/$B$7,0)</f>
        <v>1</v>
      </c>
      <c r="G16" s="86">
        <v>5.5</v>
      </c>
      <c r="H16" s="11">
        <f t="shared" si="2"/>
        <v>-0.54999999999999982</v>
      </c>
    </row>
    <row r="17" spans="1:8" ht="12" thickBot="1" x14ac:dyDescent="0.2">
      <c r="A17" s="170" t="s">
        <v>9</v>
      </c>
      <c r="B17" s="67">
        <v>151</v>
      </c>
      <c r="C17" s="87">
        <f t="shared" si="0"/>
        <v>83.050000000000011</v>
      </c>
      <c r="D17" s="87">
        <v>83.05</v>
      </c>
      <c r="E17" s="114" t="s">
        <v>48</v>
      </c>
      <c r="F17" s="67">
        <f>ROUNDUP(B17*$B$6/$B$7,0)</f>
        <v>16</v>
      </c>
      <c r="G17" s="86">
        <f t="shared" si="1"/>
        <v>88</v>
      </c>
      <c r="H17" s="11">
        <f t="shared" si="2"/>
        <v>-4.9499999999999886</v>
      </c>
    </row>
    <row r="18" spans="1:8" ht="12" thickBot="1" x14ac:dyDescent="0.2">
      <c r="A18" s="168" t="s">
        <v>50</v>
      </c>
      <c r="B18" s="71">
        <f>SUM(B14:B17)</f>
        <v>315</v>
      </c>
      <c r="C18" s="71">
        <f t="shared" ref="C18:D18" si="3">SUM(C14:C17)</f>
        <v>173.25</v>
      </c>
      <c r="D18" s="71">
        <f t="shared" si="3"/>
        <v>173.25</v>
      </c>
      <c r="E18" s="114" t="s">
        <v>48</v>
      </c>
      <c r="F18" s="85">
        <f>SUM(F14:F17)</f>
        <v>32</v>
      </c>
      <c r="G18" s="14">
        <f>SUM(G14:G17)</f>
        <v>176</v>
      </c>
      <c r="H18" s="15">
        <f>SUM(H14:H17)</f>
        <v>-2.7499999999999885</v>
      </c>
    </row>
    <row r="19" spans="1:8" ht="12" thickBot="1" x14ac:dyDescent="0.2">
      <c r="A19" s="115" t="s">
        <v>51</v>
      </c>
      <c r="B19" s="35">
        <v>145</v>
      </c>
      <c r="C19" s="68">
        <v>79.75</v>
      </c>
      <c r="D19" s="68">
        <v>0</v>
      </c>
      <c r="E19" s="114" t="s">
        <v>49</v>
      </c>
      <c r="F19" s="67">
        <v>0</v>
      </c>
      <c r="G19" s="17">
        <v>0</v>
      </c>
      <c r="H19" s="18" t="s">
        <v>13</v>
      </c>
    </row>
    <row r="20" spans="1:8" ht="34.5" thickBot="1" x14ac:dyDescent="0.2">
      <c r="A20" s="78" t="s">
        <v>52</v>
      </c>
      <c r="B20" s="36">
        <f>B19+B18</f>
        <v>460</v>
      </c>
    </row>
    <row r="21" spans="1:8" ht="12" thickBot="1" x14ac:dyDescent="0.2">
      <c r="A21" s="83"/>
      <c r="B21" s="38"/>
    </row>
    <row r="22" spans="1:8" ht="15" thickBot="1" x14ac:dyDescent="0.2">
      <c r="A22" s="192" t="s">
        <v>73</v>
      </c>
      <c r="B22" s="193"/>
      <c r="C22" s="193"/>
      <c r="D22" s="193"/>
      <c r="E22" s="194"/>
    </row>
    <row r="23" spans="1:8" x14ac:dyDescent="0.15">
      <c r="A23" s="195" t="s">
        <v>53</v>
      </c>
      <c r="B23" s="73" t="s">
        <v>14</v>
      </c>
      <c r="C23" s="73"/>
      <c r="D23" s="73"/>
      <c r="E23" s="73" t="s">
        <v>15</v>
      </c>
    </row>
    <row r="24" spans="1:8" ht="23.25" thickBot="1" x14ac:dyDescent="0.2">
      <c r="A24" s="196"/>
      <c r="B24" s="71" t="s">
        <v>54</v>
      </c>
      <c r="C24" s="71"/>
      <c r="D24" s="71"/>
      <c r="E24" s="71" t="s">
        <v>57</v>
      </c>
    </row>
    <row r="25" spans="1:8" x14ac:dyDescent="0.15">
      <c r="A25" s="197" t="s">
        <v>56</v>
      </c>
      <c r="B25" s="200" t="s">
        <v>55</v>
      </c>
      <c r="D25" s="197"/>
      <c r="E25" s="203" t="s">
        <v>98</v>
      </c>
    </row>
    <row r="26" spans="1:8" x14ac:dyDescent="0.15">
      <c r="A26" s="198"/>
      <c r="B26" s="201"/>
      <c r="C26" s="116"/>
      <c r="D26" s="198"/>
      <c r="E26" s="198"/>
    </row>
    <row r="27" spans="1:8" ht="12" thickBot="1" x14ac:dyDescent="0.2">
      <c r="A27" s="199"/>
      <c r="B27" s="202"/>
      <c r="C27" s="69"/>
      <c r="D27" s="199"/>
      <c r="E27" s="199"/>
    </row>
    <row r="28" spans="1:8" ht="12" thickBot="1" x14ac:dyDescent="0.2">
      <c r="A28" s="75" t="s">
        <v>16</v>
      </c>
      <c r="B28" s="94">
        <f>ROUNDUP(F18*$B$7/$B$6,1)</f>
        <v>320</v>
      </c>
      <c r="C28" s="76"/>
      <c r="D28" s="76"/>
      <c r="E28" s="76">
        <v>0</v>
      </c>
    </row>
    <row r="29" spans="1:8" ht="23.25" thickBot="1" x14ac:dyDescent="0.2">
      <c r="A29" s="27"/>
      <c r="B29" s="28"/>
      <c r="C29" s="29" t="s">
        <v>59</v>
      </c>
      <c r="D29" s="30" t="s">
        <v>22</v>
      </c>
      <c r="E29" s="32" t="s">
        <v>23</v>
      </c>
    </row>
    <row r="30" spans="1:8" ht="12" thickBot="1" x14ac:dyDescent="0.2">
      <c r="A30" s="162" t="s">
        <v>58</v>
      </c>
      <c r="B30" s="163">
        <f>B28*$B$6/$B$7</f>
        <v>32</v>
      </c>
      <c r="C30" s="164">
        <f>INT(B30)</f>
        <v>32</v>
      </c>
      <c r="D30" s="163">
        <f>B30-C30</f>
        <v>0</v>
      </c>
      <c r="E30" s="165">
        <f>ROUNDDOWN(D30*$B$7/$B$6,2)</f>
        <v>0</v>
      </c>
    </row>
    <row r="31" spans="1:8" ht="12" thickBot="1" x14ac:dyDescent="0.2">
      <c r="A31" s="72"/>
    </row>
    <row r="32" spans="1:8" ht="23.25" thickBot="1" x14ac:dyDescent="0.2">
      <c r="A32" s="78" t="s">
        <v>60</v>
      </c>
      <c r="B32" s="79" t="s">
        <v>61</v>
      </c>
      <c r="C32" s="79" t="s">
        <v>42</v>
      </c>
      <c r="D32" s="79" t="s">
        <v>62</v>
      </c>
      <c r="E32" s="33" t="s">
        <v>24</v>
      </c>
      <c r="F32" s="79" t="s">
        <v>63</v>
      </c>
    </row>
    <row r="33" spans="1:8" ht="34.5" thickBot="1" x14ac:dyDescent="0.2">
      <c r="A33" s="168" t="s">
        <v>64</v>
      </c>
      <c r="B33" s="117" t="s">
        <v>65</v>
      </c>
      <c r="C33" s="117" t="s">
        <v>66</v>
      </c>
      <c r="D33" s="117" t="s">
        <v>67</v>
      </c>
      <c r="E33" s="118" t="s">
        <v>68</v>
      </c>
      <c r="F33" s="117" t="s">
        <v>69</v>
      </c>
    </row>
    <row r="34" spans="1:8" ht="12" thickBot="1" x14ac:dyDescent="0.2">
      <c r="A34" s="168" t="s">
        <v>71</v>
      </c>
      <c r="B34" s="119">
        <f>B20*$B$6</f>
        <v>253.00000000000003</v>
      </c>
      <c r="C34" s="119">
        <f>F18*$B$7</f>
        <v>176</v>
      </c>
      <c r="D34" s="119">
        <f>(B20-B28)*B6</f>
        <v>77</v>
      </c>
      <c r="E34" s="188">
        <f>E30</f>
        <v>0</v>
      </c>
      <c r="F34" s="120">
        <f>B34-(C34+D34+E34)</f>
        <v>0</v>
      </c>
    </row>
    <row r="36" spans="1:8" x14ac:dyDescent="0.15">
      <c r="A36" s="113" t="s">
        <v>39</v>
      </c>
    </row>
    <row r="39" spans="1:8" ht="18" x14ac:dyDescent="0.25">
      <c r="A39" s="122"/>
      <c r="B39" s="121"/>
    </row>
    <row r="40" spans="1:8" x14ac:dyDescent="0.15">
      <c r="A40" s="72"/>
    </row>
    <row r="41" spans="1:8" ht="12" thickBot="1" x14ac:dyDescent="0.2">
      <c r="F41" s="5"/>
    </row>
    <row r="42" spans="1:8" ht="11.25" customHeight="1" x14ac:dyDescent="0.15">
      <c r="A42" s="203"/>
      <c r="B42" s="195" t="s">
        <v>45</v>
      </c>
      <c r="C42" s="64" t="s">
        <v>40</v>
      </c>
      <c r="D42" s="195" t="s">
        <v>42</v>
      </c>
      <c r="E42" s="195" t="s">
        <v>43</v>
      </c>
      <c r="F42" s="190" t="s">
        <v>44</v>
      </c>
      <c r="G42" s="204" t="s">
        <v>46</v>
      </c>
      <c r="H42" s="190" t="s">
        <v>2</v>
      </c>
    </row>
    <row r="43" spans="1:8" ht="12" thickBot="1" x14ac:dyDescent="0.2">
      <c r="A43" s="199"/>
      <c r="B43" s="196"/>
      <c r="C43" s="65" t="s">
        <v>41</v>
      </c>
      <c r="D43" s="196"/>
      <c r="E43" s="196"/>
      <c r="F43" s="191"/>
      <c r="G43" s="205"/>
      <c r="H43" s="191" t="s">
        <v>3</v>
      </c>
    </row>
    <row r="44" spans="1:8" ht="12" thickBot="1" x14ac:dyDescent="0.2">
      <c r="A44" s="170" t="s">
        <v>4</v>
      </c>
      <c r="B44" s="67">
        <v>125</v>
      </c>
      <c r="C44" s="87">
        <f>B44*$B$6</f>
        <v>68.75</v>
      </c>
      <c r="D44" s="87">
        <v>68.75</v>
      </c>
      <c r="E44" s="114" t="s">
        <v>88</v>
      </c>
      <c r="F44" s="67">
        <f>ROUNDDOWN(B44*$B$6/$B$7,0)</f>
        <v>12</v>
      </c>
      <c r="G44" s="86">
        <f>F44*$B$7</f>
        <v>66</v>
      </c>
      <c r="H44" s="11">
        <f>C44-G44</f>
        <v>2.75</v>
      </c>
    </row>
    <row r="45" spans="1:8" ht="23.25" thickBot="1" x14ac:dyDescent="0.2">
      <c r="A45" s="168" t="s">
        <v>86</v>
      </c>
      <c r="B45" s="71">
        <f>SUM(B44)</f>
        <v>125</v>
      </c>
      <c r="C45" s="71">
        <f t="shared" ref="C45:D45" si="4">SUM(C44)</f>
        <v>68.75</v>
      </c>
      <c r="D45" s="71">
        <f t="shared" si="4"/>
        <v>68.75</v>
      </c>
      <c r="E45" s="65" t="s">
        <v>88</v>
      </c>
      <c r="F45" s="71">
        <f t="shared" ref="F45" si="5">SUM(F44)</f>
        <v>12</v>
      </c>
      <c r="G45" s="93">
        <f>SUM(G44)</f>
        <v>66</v>
      </c>
      <c r="H45" s="71">
        <f t="shared" ref="H45" si="6">SUM(H44)</f>
        <v>2.75</v>
      </c>
    </row>
    <row r="46" spans="1:8" ht="12" thickBot="1" x14ac:dyDescent="0.2">
      <c r="A46" s="170" t="s">
        <v>6</v>
      </c>
      <c r="B46" s="67">
        <v>30</v>
      </c>
      <c r="C46" s="87">
        <f t="shared" ref="C46:C48" si="7">B46*$B$6</f>
        <v>16.5</v>
      </c>
      <c r="D46" s="87">
        <v>16.5</v>
      </c>
      <c r="E46" s="114" t="s">
        <v>89</v>
      </c>
      <c r="F46" s="67">
        <f>ROUNDUP(B46*$B$6/$B$7,0)</f>
        <v>3</v>
      </c>
      <c r="G46" s="86">
        <f t="shared" ref="G46:G48" si="8">F46*$B$7</f>
        <v>16.5</v>
      </c>
      <c r="H46" s="11">
        <f t="shared" ref="H46:H48" si="9">C46-G46</f>
        <v>0</v>
      </c>
    </row>
    <row r="47" spans="1:8" ht="12" thickBot="1" x14ac:dyDescent="0.2">
      <c r="A47" s="170" t="s">
        <v>8</v>
      </c>
      <c r="B47" s="67">
        <v>9</v>
      </c>
      <c r="C47" s="87">
        <f t="shared" si="7"/>
        <v>4.95</v>
      </c>
      <c r="D47" s="87">
        <v>4.95</v>
      </c>
      <c r="E47" s="114" t="s">
        <v>89</v>
      </c>
      <c r="F47" s="67">
        <f>ROUNDUP(B47*$B$6/$B$7,0)</f>
        <v>1</v>
      </c>
      <c r="G47" s="86">
        <v>5.5</v>
      </c>
      <c r="H47" s="11">
        <f t="shared" si="9"/>
        <v>-0.54999999999999982</v>
      </c>
    </row>
    <row r="48" spans="1:8" ht="12" thickBot="1" x14ac:dyDescent="0.2">
      <c r="A48" s="170" t="s">
        <v>9</v>
      </c>
      <c r="B48" s="67">
        <v>151</v>
      </c>
      <c r="C48" s="87">
        <f t="shared" si="7"/>
        <v>83.050000000000011</v>
      </c>
      <c r="D48" s="87">
        <v>83.05</v>
      </c>
      <c r="E48" s="114" t="s">
        <v>89</v>
      </c>
      <c r="F48" s="67">
        <f>ROUNDUP(B48*$B$6/$B$7,0)</f>
        <v>16</v>
      </c>
      <c r="G48" s="86">
        <f t="shared" si="8"/>
        <v>88</v>
      </c>
      <c r="H48" s="11">
        <f t="shared" si="9"/>
        <v>-4.9499999999999886</v>
      </c>
    </row>
    <row r="49" spans="1:8" ht="12" thickBot="1" x14ac:dyDescent="0.2">
      <c r="A49" s="168" t="s">
        <v>87</v>
      </c>
      <c r="B49" s="71">
        <f>SUM(B46:B48)</f>
        <v>190</v>
      </c>
      <c r="C49" s="93">
        <f t="shared" ref="C49:H49" si="10">SUM(C46:C48)</f>
        <v>104.50000000000001</v>
      </c>
      <c r="D49" s="93">
        <f t="shared" si="10"/>
        <v>104.5</v>
      </c>
      <c r="E49" s="65" t="s">
        <v>88</v>
      </c>
      <c r="F49" s="71">
        <f t="shared" si="10"/>
        <v>20</v>
      </c>
      <c r="G49" s="71">
        <f t="shared" si="10"/>
        <v>110</v>
      </c>
      <c r="H49" s="93">
        <f t="shared" si="10"/>
        <v>-5.4999999999999885</v>
      </c>
    </row>
    <row r="50" spans="1:8" ht="12" thickBot="1" x14ac:dyDescent="0.2">
      <c r="A50" s="169" t="s">
        <v>11</v>
      </c>
      <c r="B50" s="35">
        <v>145</v>
      </c>
      <c r="C50" s="68">
        <v>79.75</v>
      </c>
      <c r="D50" s="68">
        <v>0</v>
      </c>
      <c r="E50" s="114" t="s">
        <v>90</v>
      </c>
      <c r="F50" s="67">
        <v>0</v>
      </c>
      <c r="G50" s="17">
        <v>0</v>
      </c>
      <c r="H50" s="18" t="s">
        <v>13</v>
      </c>
    </row>
    <row r="51" spans="1:8" ht="34.5" thickBot="1" x14ac:dyDescent="0.2">
      <c r="A51" s="78" t="s">
        <v>52</v>
      </c>
      <c r="B51" s="36">
        <f>B50+B49+B45</f>
        <v>460</v>
      </c>
    </row>
    <row r="52" spans="1:8" ht="12" thickBot="1" x14ac:dyDescent="0.2">
      <c r="A52" s="83"/>
      <c r="B52" s="38"/>
    </row>
    <row r="53" spans="1:8" ht="15" thickBot="1" x14ac:dyDescent="0.2">
      <c r="A53" s="192" t="s">
        <v>97</v>
      </c>
      <c r="B53" s="193"/>
      <c r="C53" s="193"/>
      <c r="D53" s="193"/>
      <c r="E53" s="194"/>
    </row>
    <row r="54" spans="1:8" ht="11.25" customHeight="1" x14ac:dyDescent="0.15">
      <c r="A54" s="195" t="s">
        <v>53</v>
      </c>
      <c r="B54" s="73" t="s">
        <v>14</v>
      </c>
      <c r="C54" s="73"/>
      <c r="D54" s="73"/>
      <c r="E54" s="73" t="s">
        <v>15</v>
      </c>
    </row>
    <row r="55" spans="1:8" ht="23.25" thickBot="1" x14ac:dyDescent="0.2">
      <c r="A55" s="196"/>
      <c r="B55" s="71" t="s">
        <v>54</v>
      </c>
      <c r="C55" s="71"/>
      <c r="D55" s="71"/>
      <c r="E55" s="71" t="s">
        <v>57</v>
      </c>
    </row>
    <row r="56" spans="1:8" ht="11.25" customHeight="1" x14ac:dyDescent="0.15">
      <c r="A56" s="197" t="s">
        <v>56</v>
      </c>
      <c r="B56" s="200" t="s">
        <v>55</v>
      </c>
      <c r="D56" s="197"/>
      <c r="E56" s="203" t="s">
        <v>98</v>
      </c>
    </row>
    <row r="57" spans="1:8" x14ac:dyDescent="0.15">
      <c r="A57" s="198"/>
      <c r="B57" s="201"/>
      <c r="C57" s="116"/>
      <c r="D57" s="198"/>
      <c r="E57" s="198"/>
    </row>
    <row r="58" spans="1:8" ht="12" thickBot="1" x14ac:dyDescent="0.2">
      <c r="A58" s="199"/>
      <c r="B58" s="202"/>
      <c r="C58" s="69"/>
      <c r="D58" s="199"/>
      <c r="E58" s="199"/>
    </row>
    <row r="59" spans="1:8" ht="21" customHeight="1" thickBot="1" x14ac:dyDescent="0.2">
      <c r="A59" s="75" t="s">
        <v>25</v>
      </c>
      <c r="B59" s="94">
        <f>ROUNDDOWN(F45*$B$7/$B$6,1)</f>
        <v>120</v>
      </c>
      <c r="C59" s="76"/>
      <c r="D59" s="76"/>
      <c r="E59" s="76">
        <v>0</v>
      </c>
    </row>
    <row r="60" spans="1:8" ht="23.25" thickBot="1" x14ac:dyDescent="0.2">
      <c r="A60" s="27"/>
      <c r="B60" s="28"/>
      <c r="C60" s="29" t="s">
        <v>59</v>
      </c>
      <c r="D60" s="30" t="s">
        <v>22</v>
      </c>
      <c r="E60" s="32" t="s">
        <v>23</v>
      </c>
    </row>
    <row r="61" spans="1:8" ht="12" thickBot="1" x14ac:dyDescent="0.2">
      <c r="A61" s="162" t="s">
        <v>72</v>
      </c>
      <c r="B61" s="163">
        <f>B59*$B$6/$B$7</f>
        <v>12</v>
      </c>
      <c r="C61" s="164">
        <f>INT(B61)</f>
        <v>12</v>
      </c>
      <c r="D61" s="163">
        <f>B61-C61</f>
        <v>0</v>
      </c>
      <c r="E61" s="165">
        <f>ROUNDDOWN(D61*$B$7/$B$6,2)</f>
        <v>0</v>
      </c>
    </row>
    <row r="62" spans="1:8" x14ac:dyDescent="0.15">
      <c r="A62" s="40"/>
      <c r="B62" s="31"/>
      <c r="C62" s="31"/>
      <c r="D62" s="31"/>
      <c r="E62" s="42"/>
    </row>
    <row r="63" spans="1:8" ht="12" thickBot="1" x14ac:dyDescent="0.2">
      <c r="A63" s="75" t="s">
        <v>16</v>
      </c>
      <c r="B63" s="94">
        <f>ROUNDDOWN(F49*$B$7/$B$6,1)</f>
        <v>200</v>
      </c>
      <c r="C63" s="76"/>
      <c r="D63" s="76"/>
      <c r="E63" s="76">
        <v>0</v>
      </c>
    </row>
    <row r="64" spans="1:8" ht="23.25" thickBot="1" x14ac:dyDescent="0.2">
      <c r="A64" s="27"/>
      <c r="B64" s="28"/>
      <c r="C64" s="29" t="s">
        <v>59</v>
      </c>
      <c r="D64" s="30" t="s">
        <v>22</v>
      </c>
      <c r="E64" s="32" t="s">
        <v>23</v>
      </c>
    </row>
    <row r="65" spans="1:8" ht="12" thickBot="1" x14ac:dyDescent="0.2">
      <c r="A65" s="162" t="s">
        <v>72</v>
      </c>
      <c r="B65" s="163">
        <f>B63*$B$6/$B$7</f>
        <v>20.000000000000004</v>
      </c>
      <c r="C65" s="164">
        <f>INT(B65)</f>
        <v>20</v>
      </c>
      <c r="D65" s="163">
        <f>B65-C65</f>
        <v>0</v>
      </c>
      <c r="E65" s="165">
        <f>ROUNDDOWN(D65*$B$7/$B$6,2)</f>
        <v>0</v>
      </c>
    </row>
    <row r="66" spans="1:8" x14ac:dyDescent="0.15">
      <c r="A66" s="40"/>
      <c r="B66" s="31"/>
      <c r="C66" s="31"/>
      <c r="D66" s="31"/>
      <c r="E66" s="42"/>
    </row>
    <row r="67" spans="1:8" ht="12" thickBot="1" x14ac:dyDescent="0.2">
      <c r="A67" s="72"/>
    </row>
    <row r="68" spans="1:8" ht="23.25" thickBot="1" x14ac:dyDescent="0.2">
      <c r="A68" s="78" t="s">
        <v>60</v>
      </c>
      <c r="B68" s="79" t="s">
        <v>61</v>
      </c>
      <c r="C68" s="79" t="s">
        <v>42</v>
      </c>
      <c r="D68" s="79" t="s">
        <v>62</v>
      </c>
      <c r="E68" s="33" t="s">
        <v>24</v>
      </c>
      <c r="F68" s="79" t="s">
        <v>63</v>
      </c>
    </row>
    <row r="69" spans="1:8" ht="34.5" thickBot="1" x14ac:dyDescent="0.2">
      <c r="A69" s="168" t="s">
        <v>64</v>
      </c>
      <c r="B69" s="117" t="s">
        <v>65</v>
      </c>
      <c r="C69" s="117" t="s">
        <v>66</v>
      </c>
      <c r="D69" s="117" t="s">
        <v>67</v>
      </c>
      <c r="E69" s="118" t="s">
        <v>68</v>
      </c>
      <c r="F69" s="117" t="s">
        <v>69</v>
      </c>
    </row>
    <row r="70" spans="1:8" ht="12" thickBot="1" x14ac:dyDescent="0.2">
      <c r="A70" s="168" t="s">
        <v>75</v>
      </c>
      <c r="B70" s="91">
        <f>B51*$B$6</f>
        <v>253.00000000000003</v>
      </c>
      <c r="C70" s="91">
        <f>(C61+C65)*$B$7</f>
        <v>176</v>
      </c>
      <c r="D70" s="91">
        <f>(B51-(B59+B63))*$B$6</f>
        <v>77</v>
      </c>
      <c r="E70" s="92">
        <f>D65+D61</f>
        <v>0</v>
      </c>
      <c r="F70" s="89">
        <f>B70-(C70+D70+E70)</f>
        <v>0</v>
      </c>
    </row>
    <row r="73" spans="1:8" ht="12" thickBot="1" x14ac:dyDescent="0.2"/>
    <row r="74" spans="1:8" ht="11.25" customHeight="1" x14ac:dyDescent="0.15">
      <c r="A74" s="203"/>
      <c r="B74" s="195" t="s">
        <v>45</v>
      </c>
      <c r="C74" s="64" t="s">
        <v>40</v>
      </c>
      <c r="D74" s="195" t="s">
        <v>42</v>
      </c>
      <c r="E74" s="195" t="s">
        <v>43</v>
      </c>
      <c r="F74" s="190" t="s">
        <v>44</v>
      </c>
      <c r="G74" s="204" t="s">
        <v>46</v>
      </c>
      <c r="H74" s="190" t="s">
        <v>2</v>
      </c>
    </row>
    <row r="75" spans="1:8" ht="12" thickBot="1" x14ac:dyDescent="0.2">
      <c r="A75" s="199"/>
      <c r="B75" s="196"/>
      <c r="C75" s="65" t="s">
        <v>41</v>
      </c>
      <c r="D75" s="196"/>
      <c r="E75" s="196"/>
      <c r="F75" s="191"/>
      <c r="G75" s="205"/>
      <c r="H75" s="191" t="s">
        <v>3</v>
      </c>
    </row>
    <row r="76" spans="1:8" ht="12" thickBot="1" x14ac:dyDescent="0.2">
      <c r="A76" s="170" t="s">
        <v>4</v>
      </c>
      <c r="B76" s="67">
        <v>125</v>
      </c>
      <c r="C76" s="87">
        <f>B76*$B$6</f>
        <v>68.75</v>
      </c>
      <c r="D76" s="87">
        <v>68.75</v>
      </c>
      <c r="E76" s="69" t="s">
        <v>5</v>
      </c>
      <c r="F76" s="67">
        <f>ROUNDDOWN(B76*$B$6/$B$7,0)</f>
        <v>12</v>
      </c>
      <c r="G76" s="86">
        <f>F76*$B$7</f>
        <v>66</v>
      </c>
      <c r="H76" s="11">
        <f>C76-G76</f>
        <v>2.75</v>
      </c>
    </row>
    <row r="77" spans="1:8" ht="12" thickBot="1" x14ac:dyDescent="0.2">
      <c r="A77" s="170" t="s">
        <v>6</v>
      </c>
      <c r="B77" s="67">
        <v>30</v>
      </c>
      <c r="C77" s="87">
        <f t="shared" ref="C77:C79" si="11">B77*$B$6</f>
        <v>16.5</v>
      </c>
      <c r="D77" s="87">
        <v>16.5</v>
      </c>
      <c r="E77" s="69" t="s">
        <v>7</v>
      </c>
      <c r="F77" s="67">
        <f>ROUNDUP(B77*$B$6/$B$7,0)</f>
        <v>3</v>
      </c>
      <c r="G77" s="86">
        <f t="shared" ref="G77:G79" si="12">F77*$B$7</f>
        <v>16.5</v>
      </c>
      <c r="H77" s="11">
        <f t="shared" ref="H77:H79" si="13">C77-G77</f>
        <v>0</v>
      </c>
    </row>
    <row r="78" spans="1:8" ht="12" thickBot="1" x14ac:dyDescent="0.2">
      <c r="A78" s="170" t="s">
        <v>8</v>
      </c>
      <c r="B78" s="67">
        <v>9</v>
      </c>
      <c r="C78" s="87">
        <f t="shared" si="11"/>
        <v>4.95</v>
      </c>
      <c r="D78" s="87">
        <v>4.95</v>
      </c>
      <c r="E78" s="69" t="s">
        <v>7</v>
      </c>
      <c r="F78" s="67">
        <f>ROUNDUP(B78*$B$6/$B$7,0)</f>
        <v>1</v>
      </c>
      <c r="G78" s="86">
        <v>5.5</v>
      </c>
      <c r="H78" s="11">
        <f t="shared" si="13"/>
        <v>-0.54999999999999982</v>
      </c>
    </row>
    <row r="79" spans="1:8" ht="12" thickBot="1" x14ac:dyDescent="0.2">
      <c r="A79" s="170" t="s">
        <v>9</v>
      </c>
      <c r="B79" s="67">
        <v>151</v>
      </c>
      <c r="C79" s="87">
        <f t="shared" si="11"/>
        <v>83.050000000000011</v>
      </c>
      <c r="D79" s="87">
        <v>83.05</v>
      </c>
      <c r="E79" s="69" t="s">
        <v>7</v>
      </c>
      <c r="F79" s="67">
        <f>ROUNDUP(B79*$B$6/$B$7,0)</f>
        <v>16</v>
      </c>
      <c r="G79" s="86">
        <f t="shared" si="12"/>
        <v>88</v>
      </c>
      <c r="H79" s="11">
        <f t="shared" si="13"/>
        <v>-4.9499999999999886</v>
      </c>
    </row>
    <row r="80" spans="1:8" ht="12" thickBot="1" x14ac:dyDescent="0.2">
      <c r="A80" s="169" t="s">
        <v>11</v>
      </c>
      <c r="B80" s="35">
        <v>145</v>
      </c>
      <c r="C80" s="68">
        <v>79.75</v>
      </c>
      <c r="D80" s="68">
        <v>0</v>
      </c>
      <c r="E80" s="69" t="s">
        <v>12</v>
      </c>
      <c r="F80" s="67">
        <v>0</v>
      </c>
      <c r="G80" s="17">
        <v>0</v>
      </c>
      <c r="H80" s="18" t="s">
        <v>13</v>
      </c>
    </row>
    <row r="81" spans="1:5" ht="34.5" thickBot="1" x14ac:dyDescent="0.2">
      <c r="A81" s="78" t="s">
        <v>52</v>
      </c>
      <c r="B81" s="36">
        <f>SUM(B76:B80)</f>
        <v>460</v>
      </c>
    </row>
    <row r="82" spans="1:5" ht="12" thickBot="1" x14ac:dyDescent="0.2">
      <c r="A82" s="83"/>
      <c r="B82" s="38"/>
    </row>
    <row r="83" spans="1:5" ht="15" thickBot="1" x14ac:dyDescent="0.2">
      <c r="A83" s="192" t="s">
        <v>74</v>
      </c>
      <c r="B83" s="193"/>
      <c r="C83" s="193"/>
      <c r="D83" s="193"/>
      <c r="E83" s="194"/>
    </row>
    <row r="84" spans="1:5" ht="11.25" customHeight="1" x14ac:dyDescent="0.15">
      <c r="A84" s="195" t="s">
        <v>53</v>
      </c>
      <c r="B84" s="73" t="s">
        <v>14</v>
      </c>
      <c r="C84" s="73"/>
      <c r="D84" s="73"/>
      <c r="E84" s="73" t="s">
        <v>15</v>
      </c>
    </row>
    <row r="85" spans="1:5" ht="23.25" thickBot="1" x14ac:dyDescent="0.2">
      <c r="A85" s="196"/>
      <c r="B85" s="71" t="s">
        <v>54</v>
      </c>
      <c r="C85" s="71"/>
      <c r="D85" s="71"/>
      <c r="E85" s="71" t="s">
        <v>57</v>
      </c>
    </row>
    <row r="86" spans="1:5" ht="11.25" customHeight="1" x14ac:dyDescent="0.15">
      <c r="A86" s="197" t="s">
        <v>56</v>
      </c>
      <c r="B86" s="200" t="s">
        <v>55</v>
      </c>
      <c r="D86" s="197"/>
      <c r="E86" s="203" t="s">
        <v>98</v>
      </c>
    </row>
    <row r="87" spans="1:5" x14ac:dyDescent="0.15">
      <c r="A87" s="198"/>
      <c r="B87" s="201"/>
      <c r="C87" s="116"/>
      <c r="D87" s="198"/>
      <c r="E87" s="198"/>
    </row>
    <row r="88" spans="1:5" ht="12" thickBot="1" x14ac:dyDescent="0.2">
      <c r="A88" s="199"/>
      <c r="B88" s="202"/>
      <c r="C88" s="69"/>
      <c r="D88" s="199"/>
      <c r="E88" s="199"/>
    </row>
    <row r="89" spans="1:5" ht="12" thickBot="1" x14ac:dyDescent="0.2">
      <c r="A89" s="75" t="s">
        <v>25</v>
      </c>
      <c r="B89" s="94">
        <f>F76*B7/B6</f>
        <v>119.99999999999999</v>
      </c>
      <c r="C89" s="76"/>
      <c r="D89" s="90"/>
      <c r="E89" s="76">
        <v>0</v>
      </c>
    </row>
    <row r="90" spans="1:5" ht="23.25" thickBot="1" x14ac:dyDescent="0.2">
      <c r="A90" s="27"/>
      <c r="B90" s="28"/>
      <c r="C90" s="29" t="s">
        <v>59</v>
      </c>
      <c r="D90" s="30" t="s">
        <v>22</v>
      </c>
      <c r="E90" s="32" t="s">
        <v>23</v>
      </c>
    </row>
    <row r="91" spans="1:5" ht="12" thickBot="1" x14ac:dyDescent="0.2">
      <c r="A91" s="162" t="s">
        <v>18</v>
      </c>
      <c r="B91" s="163">
        <f>B89*$B$6/$B$7</f>
        <v>12</v>
      </c>
      <c r="C91" s="164">
        <f>INT(B91)</f>
        <v>12</v>
      </c>
      <c r="D91" s="163">
        <f>B91-C91</f>
        <v>0</v>
      </c>
      <c r="E91" s="165">
        <f>ROUNDDOWN(D91*$B$7/$B$6,2)</f>
        <v>0</v>
      </c>
    </row>
    <row r="92" spans="1:5" x14ac:dyDescent="0.15">
      <c r="A92" s="40"/>
      <c r="B92" s="31"/>
      <c r="C92" s="31"/>
      <c r="D92" s="31"/>
      <c r="E92" s="42"/>
    </row>
    <row r="93" spans="1:5" ht="12" thickBot="1" x14ac:dyDescent="0.2">
      <c r="A93" s="75" t="s">
        <v>16</v>
      </c>
      <c r="B93" s="94">
        <f>F77*$B$7/$B$6</f>
        <v>29.999999999999996</v>
      </c>
      <c r="C93" s="76"/>
      <c r="D93" s="90"/>
      <c r="E93" s="76">
        <v>0</v>
      </c>
    </row>
    <row r="94" spans="1:5" ht="23.25" thickBot="1" x14ac:dyDescent="0.2">
      <c r="A94" s="27"/>
      <c r="B94" s="28"/>
      <c r="C94" s="29" t="s">
        <v>59</v>
      </c>
      <c r="D94" s="30" t="s">
        <v>22</v>
      </c>
      <c r="E94" s="32" t="s">
        <v>23</v>
      </c>
    </row>
    <row r="95" spans="1:5" ht="12" thickBot="1" x14ac:dyDescent="0.2">
      <c r="A95" s="162" t="s">
        <v>18</v>
      </c>
      <c r="B95" s="163">
        <f>B93*$B$6/$B$7</f>
        <v>3</v>
      </c>
      <c r="C95" s="164">
        <f>INT(B95)</f>
        <v>3</v>
      </c>
      <c r="D95" s="163">
        <f>B95-C95</f>
        <v>0</v>
      </c>
      <c r="E95" s="165">
        <f>ROUNDDOWN(D95*$B$7/$B$6,2)</f>
        <v>0</v>
      </c>
    </row>
    <row r="96" spans="1:5" x14ac:dyDescent="0.15">
      <c r="A96" s="39"/>
      <c r="B96" s="26"/>
      <c r="C96" s="26"/>
      <c r="D96" s="26"/>
      <c r="E96" s="41"/>
    </row>
    <row r="97" spans="1:6" ht="12" thickBot="1" x14ac:dyDescent="0.2">
      <c r="A97" s="75" t="s">
        <v>16</v>
      </c>
      <c r="B97" s="94">
        <f>F78*$B$7/$B$6</f>
        <v>10</v>
      </c>
      <c r="C97" s="76"/>
      <c r="D97" s="90"/>
      <c r="E97" s="76">
        <v>0</v>
      </c>
    </row>
    <row r="98" spans="1:6" ht="23.25" thickBot="1" x14ac:dyDescent="0.2">
      <c r="A98" s="27"/>
      <c r="B98" s="28"/>
      <c r="C98" s="29" t="s">
        <v>59</v>
      </c>
      <c r="D98" s="30" t="s">
        <v>22</v>
      </c>
      <c r="E98" s="32" t="s">
        <v>23</v>
      </c>
    </row>
    <row r="99" spans="1:6" ht="12" thickBot="1" x14ac:dyDescent="0.2">
      <c r="A99" s="162" t="s">
        <v>18</v>
      </c>
      <c r="B99" s="163">
        <f>B97*$B$6/$B$7</f>
        <v>1</v>
      </c>
      <c r="C99" s="164">
        <f>INT(B99)</f>
        <v>1</v>
      </c>
      <c r="D99" s="163">
        <f>B99-C99</f>
        <v>0</v>
      </c>
      <c r="E99" s="165">
        <f>ROUNDDOWN(D99*$B$7/$B$6,2)</f>
        <v>0</v>
      </c>
    </row>
    <row r="100" spans="1:6" x14ac:dyDescent="0.15">
      <c r="A100" s="39"/>
      <c r="B100" s="26"/>
      <c r="C100" s="26"/>
      <c r="D100" s="26"/>
      <c r="E100" s="41"/>
    </row>
    <row r="101" spans="1:6" ht="12" thickBot="1" x14ac:dyDescent="0.2">
      <c r="A101" s="75" t="s">
        <v>16</v>
      </c>
      <c r="B101" s="94">
        <f>F79*$B$7/$B$6</f>
        <v>160</v>
      </c>
      <c r="C101" s="76"/>
      <c r="D101" s="90"/>
      <c r="E101" s="76" t="s">
        <v>17</v>
      </c>
    </row>
    <row r="102" spans="1:6" ht="12" thickBot="1" x14ac:dyDescent="0.2">
      <c r="A102" s="27"/>
      <c r="B102" s="28"/>
      <c r="C102" s="29" t="s">
        <v>21</v>
      </c>
      <c r="D102" s="30" t="s">
        <v>22</v>
      </c>
      <c r="E102" s="32" t="s">
        <v>23</v>
      </c>
    </row>
    <row r="103" spans="1:6" ht="12" thickBot="1" x14ac:dyDescent="0.2">
      <c r="A103" s="162" t="s">
        <v>18</v>
      </c>
      <c r="B103" s="163">
        <f>B101*$B$6/$B$7</f>
        <v>16</v>
      </c>
      <c r="C103" s="164">
        <f>INT(B103)</f>
        <v>16</v>
      </c>
      <c r="D103" s="163">
        <f>B103-C103</f>
        <v>0</v>
      </c>
      <c r="E103" s="165">
        <f>ROUNDDOWN(D103*$B$7/$B$6,2)</f>
        <v>0</v>
      </c>
    </row>
    <row r="104" spans="1:6" x14ac:dyDescent="0.15">
      <c r="A104" s="40"/>
      <c r="B104" s="31"/>
      <c r="C104" s="31"/>
      <c r="D104" s="31"/>
      <c r="E104" s="42"/>
    </row>
    <row r="105" spans="1:6" x14ac:dyDescent="0.15">
      <c r="A105" s="40"/>
      <c r="B105" s="31"/>
      <c r="C105" s="31"/>
      <c r="D105" s="31"/>
      <c r="E105" s="42"/>
    </row>
    <row r="106" spans="1:6" ht="12" thickBot="1" x14ac:dyDescent="0.2">
      <c r="A106" s="72"/>
    </row>
    <row r="107" spans="1:6" ht="23.25" thickBot="1" x14ac:dyDescent="0.2">
      <c r="A107" s="78" t="s">
        <v>60</v>
      </c>
      <c r="B107" s="79" t="s">
        <v>61</v>
      </c>
      <c r="C107" s="79" t="s">
        <v>42</v>
      </c>
      <c r="D107" s="79" t="s">
        <v>62</v>
      </c>
      <c r="E107" s="33" t="s">
        <v>24</v>
      </c>
      <c r="F107" s="79" t="s">
        <v>63</v>
      </c>
    </row>
    <row r="108" spans="1:6" ht="34.5" thickBot="1" x14ac:dyDescent="0.2">
      <c r="A108" s="168" t="s">
        <v>64</v>
      </c>
      <c r="B108" s="117" t="s">
        <v>65</v>
      </c>
      <c r="C108" s="117" t="s">
        <v>66</v>
      </c>
      <c r="D108" s="117" t="s">
        <v>67</v>
      </c>
      <c r="E108" s="118" t="s">
        <v>68</v>
      </c>
      <c r="F108" s="117" t="s">
        <v>69</v>
      </c>
    </row>
    <row r="109" spans="1:6" ht="12" thickBot="1" x14ac:dyDescent="0.2">
      <c r="A109" s="168" t="s">
        <v>20</v>
      </c>
      <c r="B109" s="91">
        <f>B81*$B$6</f>
        <v>253.00000000000003</v>
      </c>
      <c r="C109" s="91">
        <f>(C91+C95+C99+C103)*$B$7</f>
        <v>176</v>
      </c>
      <c r="D109" s="91">
        <f>(B81-(B89+B93+B97+B101))*$B$6</f>
        <v>77</v>
      </c>
      <c r="E109" s="92">
        <f>D95+D91+E99+E103</f>
        <v>0</v>
      </c>
      <c r="F109" s="89">
        <f>B109-(C109+D109+E109)</f>
        <v>0</v>
      </c>
    </row>
  </sheetData>
  <mergeCells count="39">
    <mergeCell ref="H12:H13"/>
    <mergeCell ref="A22:E22"/>
    <mergeCell ref="A23:A24"/>
    <mergeCell ref="A25:A27"/>
    <mergeCell ref="B25:B27"/>
    <mergeCell ref="D25:D27"/>
    <mergeCell ref="E25:E27"/>
    <mergeCell ref="A12:A13"/>
    <mergeCell ref="B12:B13"/>
    <mergeCell ref="D12:D13"/>
    <mergeCell ref="E12:E13"/>
    <mergeCell ref="F12:F13"/>
    <mergeCell ref="G12:G13"/>
    <mergeCell ref="H42:H43"/>
    <mergeCell ref="A53:E53"/>
    <mergeCell ref="A54:A55"/>
    <mergeCell ref="A56:A58"/>
    <mergeCell ref="B56:B58"/>
    <mergeCell ref="D56:D58"/>
    <mergeCell ref="E56:E58"/>
    <mergeCell ref="A42:A43"/>
    <mergeCell ref="B42:B43"/>
    <mergeCell ref="D42:D43"/>
    <mergeCell ref="E42:E43"/>
    <mergeCell ref="F42:F43"/>
    <mergeCell ref="G42:G43"/>
    <mergeCell ref="H74:H75"/>
    <mergeCell ref="A83:E83"/>
    <mergeCell ref="A84:A85"/>
    <mergeCell ref="A86:A88"/>
    <mergeCell ref="B86:B88"/>
    <mergeCell ref="D86:D88"/>
    <mergeCell ref="E86:E88"/>
    <mergeCell ref="A74:A75"/>
    <mergeCell ref="B74:B75"/>
    <mergeCell ref="D74:D75"/>
    <mergeCell ref="E74:E75"/>
    <mergeCell ref="F74:F75"/>
    <mergeCell ref="G74:G75"/>
  </mergeCells>
  <pageMargins left="0.7" right="0.7" top="0.75" bottom="0.75" header="0.3" footer="0.3"/>
  <pageSetup paperSize="9" orientation="portrait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opLeftCell="A55" zoomScale="110" zoomScaleNormal="110" workbookViewId="0">
      <selection activeCell="J29" sqref="J29"/>
    </sheetView>
  </sheetViews>
  <sheetFormatPr defaultColWidth="11" defaultRowHeight="11.25" x14ac:dyDescent="0.15"/>
  <cols>
    <col min="1" max="1" width="20" customWidth="1"/>
    <col min="2" max="2" width="21" customWidth="1"/>
    <col min="3" max="3" width="20.75" customWidth="1"/>
    <col min="4" max="4" width="27.375" customWidth="1"/>
    <col min="5" max="5" width="20.375" customWidth="1"/>
    <col min="6" max="6" width="21.125" customWidth="1"/>
    <col min="8" max="8" width="16.75" customWidth="1"/>
  </cols>
  <sheetData>
    <row r="1" spans="1:8" ht="18" x14ac:dyDescent="0.25">
      <c r="A1" s="110" t="s">
        <v>33</v>
      </c>
      <c r="B1" s="110" t="s">
        <v>78</v>
      </c>
    </row>
    <row r="2" spans="1:8" ht="40.5" customHeight="1" x14ac:dyDescent="0.15">
      <c r="A2" s="53"/>
      <c r="B2" s="186"/>
    </row>
    <row r="3" spans="1:8" ht="12" thickBot="1" x14ac:dyDescent="0.2">
      <c r="A3" s="1"/>
    </row>
    <row r="4" spans="1:8" ht="12" thickBot="1" x14ac:dyDescent="0.2">
      <c r="A4" s="2" t="s">
        <v>0</v>
      </c>
      <c r="B4" s="187">
        <f>B7/B6</f>
        <v>10.909090909090908</v>
      </c>
      <c r="C4" s="3" t="s">
        <v>34</v>
      </c>
      <c r="D4" s="3">
        <v>1</v>
      </c>
      <c r="E4" s="4" t="s">
        <v>35</v>
      </c>
    </row>
    <row r="5" spans="1:8" x14ac:dyDescent="0.15">
      <c r="A5" s="1"/>
      <c r="F5" s="63" t="s">
        <v>129</v>
      </c>
    </row>
    <row r="6" spans="1:8" x14ac:dyDescent="0.15">
      <c r="A6" s="111" t="s">
        <v>36</v>
      </c>
      <c r="B6">
        <v>0.55000000000000004</v>
      </c>
      <c r="C6" t="s">
        <v>1</v>
      </c>
    </row>
    <row r="7" spans="1:8" x14ac:dyDescent="0.15">
      <c r="A7" s="111" t="s">
        <v>37</v>
      </c>
      <c r="B7" s="185">
        <v>6</v>
      </c>
      <c r="C7" t="s">
        <v>1</v>
      </c>
    </row>
    <row r="8" spans="1:8" x14ac:dyDescent="0.15">
      <c r="A8" s="1"/>
    </row>
    <row r="10" spans="1:8" x14ac:dyDescent="0.15">
      <c r="A10" s="1"/>
    </row>
    <row r="11" spans="1:8" ht="12" thickBot="1" x14ac:dyDescent="0.2">
      <c r="F11" s="5"/>
    </row>
    <row r="12" spans="1:8" x14ac:dyDescent="0.15">
      <c r="A12" s="203"/>
      <c r="B12" s="195" t="s">
        <v>45</v>
      </c>
      <c r="C12" s="64" t="s">
        <v>40</v>
      </c>
      <c r="D12" s="195" t="s">
        <v>42</v>
      </c>
      <c r="E12" s="195" t="s">
        <v>43</v>
      </c>
      <c r="F12" s="190" t="s">
        <v>44</v>
      </c>
      <c r="G12" s="204" t="s">
        <v>46</v>
      </c>
      <c r="H12" s="190" t="s">
        <v>2</v>
      </c>
    </row>
    <row r="13" spans="1:8" ht="12" thickBot="1" x14ac:dyDescent="0.2">
      <c r="A13" s="199"/>
      <c r="B13" s="196"/>
      <c r="C13" s="65" t="s">
        <v>41</v>
      </c>
      <c r="D13" s="196"/>
      <c r="E13" s="196"/>
      <c r="F13" s="191"/>
      <c r="G13" s="205"/>
      <c r="H13" s="191" t="s">
        <v>3</v>
      </c>
    </row>
    <row r="14" spans="1:8" ht="12" thickBot="1" x14ac:dyDescent="0.2">
      <c r="A14" s="112" t="s">
        <v>38</v>
      </c>
      <c r="B14" s="7">
        <v>125</v>
      </c>
      <c r="C14" s="8">
        <f>B14*$B$6</f>
        <v>68.75</v>
      </c>
      <c r="D14" s="8">
        <v>68.75</v>
      </c>
      <c r="E14" s="114" t="s">
        <v>47</v>
      </c>
      <c r="F14" s="7">
        <f>ROUNDDOWN(B14*$B$6/$B$7,0)</f>
        <v>11</v>
      </c>
      <c r="G14" s="10">
        <f>F14*$B$7</f>
        <v>66</v>
      </c>
      <c r="H14" s="11">
        <f>C14-G14</f>
        <v>2.75</v>
      </c>
    </row>
    <row r="15" spans="1:8" ht="12" thickBot="1" x14ac:dyDescent="0.2">
      <c r="A15" s="6" t="s">
        <v>6</v>
      </c>
      <c r="B15" s="7">
        <v>30</v>
      </c>
      <c r="C15" s="8">
        <f t="shared" ref="C15:C17" si="0">B15*$B$6</f>
        <v>16.5</v>
      </c>
      <c r="D15" s="8">
        <v>16.5</v>
      </c>
      <c r="E15" s="114" t="s">
        <v>48</v>
      </c>
      <c r="F15" s="7">
        <f>ROUNDUP(B15*$B$6/$B$7,0)</f>
        <v>3</v>
      </c>
      <c r="G15" s="10">
        <f t="shared" ref="G15:G17" si="1">F15*$B$7</f>
        <v>18</v>
      </c>
      <c r="H15" s="11">
        <f t="shared" ref="H15:H17" si="2">C15-G15</f>
        <v>-1.5</v>
      </c>
    </row>
    <row r="16" spans="1:8" ht="12" thickBot="1" x14ac:dyDescent="0.2">
      <c r="A16" s="6" t="s">
        <v>8</v>
      </c>
      <c r="B16" s="7">
        <v>9</v>
      </c>
      <c r="C16" s="8">
        <f t="shared" si="0"/>
        <v>4.95</v>
      </c>
      <c r="D16" s="8">
        <v>4.95</v>
      </c>
      <c r="E16" s="114" t="s">
        <v>48</v>
      </c>
      <c r="F16" s="7">
        <f>ROUNDUP(B16*$B$6/$B$7,0)</f>
        <v>1</v>
      </c>
      <c r="G16" s="86">
        <f t="shared" si="1"/>
        <v>6</v>
      </c>
      <c r="H16" s="11">
        <f t="shared" si="2"/>
        <v>-1.0499999999999998</v>
      </c>
    </row>
    <row r="17" spans="1:8" ht="12" thickBot="1" x14ac:dyDescent="0.2">
      <c r="A17" s="6" t="s">
        <v>9</v>
      </c>
      <c r="B17" s="7">
        <v>151</v>
      </c>
      <c r="C17" s="8">
        <f t="shared" si="0"/>
        <v>83.050000000000011</v>
      </c>
      <c r="D17" s="8">
        <v>83.05</v>
      </c>
      <c r="E17" s="114" t="s">
        <v>48</v>
      </c>
      <c r="F17" s="7">
        <f>ROUNDUP(B17*$B$6/$B$7,0)</f>
        <v>14</v>
      </c>
      <c r="G17" s="10">
        <f t="shared" si="1"/>
        <v>84</v>
      </c>
      <c r="H17" s="11">
        <f t="shared" si="2"/>
        <v>-0.94999999999998863</v>
      </c>
    </row>
    <row r="18" spans="1:8" ht="12" thickBot="1" x14ac:dyDescent="0.2">
      <c r="A18" s="109" t="s">
        <v>50</v>
      </c>
      <c r="B18" s="12">
        <f>SUM(B14:B17)</f>
        <v>315</v>
      </c>
      <c r="C18" s="12">
        <f t="shared" ref="C18:D18" si="3">SUM(C14:C17)</f>
        <v>173.25</v>
      </c>
      <c r="D18" s="12">
        <f t="shared" si="3"/>
        <v>173.25</v>
      </c>
      <c r="E18" s="114" t="s">
        <v>48</v>
      </c>
      <c r="F18" s="13">
        <f>SUM(F14:F17)</f>
        <v>29</v>
      </c>
      <c r="G18" s="14">
        <f>SUM(G14:G17)</f>
        <v>174</v>
      </c>
      <c r="H18" s="15">
        <f>SUM(H14:H17)</f>
        <v>-0.74999999999998845</v>
      </c>
    </row>
    <row r="19" spans="1:8" ht="12" thickBot="1" x14ac:dyDescent="0.2">
      <c r="A19" s="115" t="s">
        <v>51</v>
      </c>
      <c r="B19" s="35">
        <v>145</v>
      </c>
      <c r="C19" s="16">
        <v>79.75</v>
      </c>
      <c r="D19" s="16">
        <v>0</v>
      </c>
      <c r="E19" s="114" t="s">
        <v>49</v>
      </c>
      <c r="F19" s="7">
        <v>0</v>
      </c>
      <c r="G19" s="17">
        <v>0</v>
      </c>
      <c r="H19" s="18" t="s">
        <v>13</v>
      </c>
    </row>
    <row r="20" spans="1:8" ht="34.5" thickBot="1" x14ac:dyDescent="0.2">
      <c r="A20" s="78" t="s">
        <v>52</v>
      </c>
      <c r="B20" s="36">
        <f>B19+B18</f>
        <v>460</v>
      </c>
    </row>
    <row r="21" spans="1:8" ht="12" thickBot="1" x14ac:dyDescent="0.2">
      <c r="A21" s="37"/>
      <c r="B21" s="38"/>
    </row>
    <row r="22" spans="1:8" ht="15" thickBot="1" x14ac:dyDescent="0.2">
      <c r="A22" s="192" t="s">
        <v>73</v>
      </c>
      <c r="B22" s="193"/>
      <c r="C22" s="193"/>
      <c r="D22" s="193"/>
      <c r="E22" s="194"/>
    </row>
    <row r="23" spans="1:8" x14ac:dyDescent="0.15">
      <c r="A23" s="195" t="s">
        <v>53</v>
      </c>
      <c r="B23" s="19" t="s">
        <v>14</v>
      </c>
      <c r="C23" s="19"/>
      <c r="D23" s="19"/>
      <c r="E23" s="73" t="s">
        <v>15</v>
      </c>
      <c r="F23" s="63"/>
    </row>
    <row r="24" spans="1:8" ht="23.25" thickBot="1" x14ac:dyDescent="0.2">
      <c r="A24" s="196"/>
      <c r="B24" s="71" t="s">
        <v>54</v>
      </c>
      <c r="C24" s="71"/>
      <c r="D24" s="71"/>
      <c r="E24" s="71" t="s">
        <v>57</v>
      </c>
      <c r="F24" s="63"/>
    </row>
    <row r="25" spans="1:8" x14ac:dyDescent="0.15">
      <c r="A25" s="197" t="s">
        <v>56</v>
      </c>
      <c r="B25" s="200" t="s">
        <v>55</v>
      </c>
      <c r="D25" s="197"/>
      <c r="E25" s="203" t="s">
        <v>98</v>
      </c>
      <c r="F25" s="171"/>
    </row>
    <row r="26" spans="1:8" x14ac:dyDescent="0.15">
      <c r="A26" s="198"/>
      <c r="B26" s="201"/>
      <c r="C26" s="116"/>
      <c r="D26" s="198"/>
      <c r="E26" s="198"/>
    </row>
    <row r="27" spans="1:8" ht="12" thickBot="1" x14ac:dyDescent="0.2">
      <c r="A27" s="199"/>
      <c r="B27" s="202"/>
      <c r="C27" s="9"/>
      <c r="D27" s="199"/>
      <c r="E27" s="199"/>
    </row>
    <row r="28" spans="1:8" ht="12" thickBot="1" x14ac:dyDescent="0.2">
      <c r="A28" s="20" t="s">
        <v>25</v>
      </c>
      <c r="B28" s="90">
        <f>ROUNDUP(F18*$B$7/$B$6,0)</f>
        <v>317</v>
      </c>
      <c r="C28" s="22"/>
      <c r="D28" s="22"/>
      <c r="E28" s="76">
        <v>0</v>
      </c>
      <c r="F28" s="63" t="s">
        <v>129</v>
      </c>
    </row>
    <row r="29" spans="1:8" ht="23.25" thickBot="1" x14ac:dyDescent="0.2">
      <c r="A29" s="27"/>
      <c r="B29" s="28"/>
      <c r="C29" s="29" t="s">
        <v>59</v>
      </c>
      <c r="D29" s="30" t="s">
        <v>22</v>
      </c>
      <c r="E29" s="32" t="s">
        <v>23</v>
      </c>
    </row>
    <row r="30" spans="1:8" ht="12" thickBot="1" x14ac:dyDescent="0.2">
      <c r="A30" s="162" t="s">
        <v>58</v>
      </c>
      <c r="B30" s="163">
        <f>B28*$B$6/$B$7</f>
        <v>29.058333333333337</v>
      </c>
      <c r="C30" s="164">
        <f>INT(B30)</f>
        <v>29</v>
      </c>
      <c r="D30" s="163">
        <f>(B30-C30)</f>
        <v>5.8333333333337123E-2</v>
      </c>
      <c r="E30" s="165">
        <f>D30*B7</f>
        <v>0.35000000000002274</v>
      </c>
    </row>
    <row r="31" spans="1:8" ht="12" thickBot="1" x14ac:dyDescent="0.2">
      <c r="A31" s="1"/>
    </row>
    <row r="32" spans="1:8" ht="23.25" thickBot="1" x14ac:dyDescent="0.2">
      <c r="A32" s="78" t="s">
        <v>60</v>
      </c>
      <c r="B32" s="79" t="s">
        <v>61</v>
      </c>
      <c r="C32" s="79" t="s">
        <v>42</v>
      </c>
      <c r="D32" s="79" t="s">
        <v>62</v>
      </c>
      <c r="E32" s="33" t="s">
        <v>24</v>
      </c>
      <c r="F32" s="79" t="s">
        <v>63</v>
      </c>
    </row>
    <row r="33" spans="1:8" ht="34.5" thickBot="1" x14ac:dyDescent="0.2">
      <c r="A33" s="109" t="s">
        <v>64</v>
      </c>
      <c r="B33" s="117" t="s">
        <v>65</v>
      </c>
      <c r="C33" s="117" t="s">
        <v>66</v>
      </c>
      <c r="D33" s="117" t="s">
        <v>67</v>
      </c>
      <c r="E33" s="118" t="s">
        <v>68</v>
      </c>
      <c r="F33" s="117" t="s">
        <v>69</v>
      </c>
    </row>
    <row r="34" spans="1:8" ht="12" thickBot="1" x14ac:dyDescent="0.2">
      <c r="A34" s="109" t="s">
        <v>71</v>
      </c>
      <c r="B34" s="119">
        <f>B20*$B$6</f>
        <v>253.00000000000003</v>
      </c>
      <c r="C34" s="119">
        <f>F18*$B$7</f>
        <v>174</v>
      </c>
      <c r="D34" s="119">
        <f>(B20-B28)*B6</f>
        <v>78.650000000000006</v>
      </c>
      <c r="E34" s="172">
        <f>E30</f>
        <v>0.35000000000002274</v>
      </c>
      <c r="F34" s="120">
        <f>B34-(C34+D34+E34)</f>
        <v>0</v>
      </c>
    </row>
    <row r="36" spans="1:8" x14ac:dyDescent="0.15">
      <c r="A36" s="113" t="s">
        <v>39</v>
      </c>
    </row>
    <row r="39" spans="1:8" ht="18" x14ac:dyDescent="0.25">
      <c r="A39" s="122"/>
      <c r="B39" s="121"/>
    </row>
    <row r="40" spans="1:8" x14ac:dyDescent="0.15">
      <c r="A40" s="1"/>
    </row>
    <row r="41" spans="1:8" ht="12" thickBot="1" x14ac:dyDescent="0.2">
      <c r="F41" s="5"/>
    </row>
    <row r="42" spans="1:8" ht="11.25" customHeight="1" x14ac:dyDescent="0.15">
      <c r="A42" s="203"/>
      <c r="B42" s="195" t="s">
        <v>45</v>
      </c>
      <c r="C42" s="64" t="s">
        <v>40</v>
      </c>
      <c r="D42" s="195" t="s">
        <v>42</v>
      </c>
      <c r="E42" s="195" t="s">
        <v>43</v>
      </c>
      <c r="F42" s="190" t="s">
        <v>44</v>
      </c>
      <c r="G42" s="204" t="s">
        <v>46</v>
      </c>
      <c r="H42" s="190" t="s">
        <v>2</v>
      </c>
    </row>
    <row r="43" spans="1:8" ht="12" thickBot="1" x14ac:dyDescent="0.2">
      <c r="A43" s="199"/>
      <c r="B43" s="196"/>
      <c r="C43" s="65" t="s">
        <v>41</v>
      </c>
      <c r="D43" s="196"/>
      <c r="E43" s="196"/>
      <c r="F43" s="191"/>
      <c r="G43" s="205"/>
      <c r="H43" s="191" t="s">
        <v>3</v>
      </c>
    </row>
    <row r="44" spans="1:8" ht="12" thickBot="1" x14ac:dyDescent="0.2">
      <c r="A44" s="6" t="s">
        <v>4</v>
      </c>
      <c r="B44" s="7">
        <v>125</v>
      </c>
      <c r="C44" s="8">
        <f>B44*$B$6</f>
        <v>68.75</v>
      </c>
      <c r="D44" s="8">
        <v>68.75</v>
      </c>
      <c r="E44" s="114" t="s">
        <v>88</v>
      </c>
      <c r="F44" s="7">
        <f>ROUNDDOWN(B44*$B$6/$B$7,0)</f>
        <v>11</v>
      </c>
      <c r="G44" s="10">
        <f>F44*$B$7</f>
        <v>66</v>
      </c>
      <c r="H44" s="11">
        <f>C44-G44</f>
        <v>2.75</v>
      </c>
    </row>
    <row r="45" spans="1:8" ht="23.25" thickBot="1" x14ac:dyDescent="0.2">
      <c r="A45" s="109" t="s">
        <v>86</v>
      </c>
      <c r="B45" s="12">
        <f>SUM(B44)</f>
        <v>125</v>
      </c>
      <c r="C45" s="12">
        <f t="shared" ref="C45:D45" si="4">SUM(C44)</f>
        <v>68.75</v>
      </c>
      <c r="D45" s="12">
        <f t="shared" si="4"/>
        <v>68.75</v>
      </c>
      <c r="E45" s="65" t="s">
        <v>88</v>
      </c>
      <c r="F45" s="12">
        <f t="shared" ref="F45" si="5">SUM(F44)</f>
        <v>11</v>
      </c>
      <c r="G45" s="43">
        <f>SUM(G44)</f>
        <v>66</v>
      </c>
      <c r="H45" s="12">
        <f t="shared" ref="H45" si="6">SUM(H44)</f>
        <v>2.75</v>
      </c>
    </row>
    <row r="46" spans="1:8" ht="12" thickBot="1" x14ac:dyDescent="0.2">
      <c r="A46" s="6" t="s">
        <v>6</v>
      </c>
      <c r="B46" s="7">
        <v>30</v>
      </c>
      <c r="C46" s="8">
        <f t="shared" ref="C46:C48" si="7">B46*$B$6</f>
        <v>16.5</v>
      </c>
      <c r="D46" s="8">
        <v>16.5</v>
      </c>
      <c r="E46" s="114" t="s">
        <v>89</v>
      </c>
      <c r="F46" s="7">
        <f>ROUNDUP(B46*$B$6/$B$7,0)</f>
        <v>3</v>
      </c>
      <c r="G46" s="10">
        <f t="shared" ref="G46:G48" si="8">F46*$B$7</f>
        <v>18</v>
      </c>
      <c r="H46" s="11">
        <f t="shared" ref="H46:H48" si="9">C46-G46</f>
        <v>-1.5</v>
      </c>
    </row>
    <row r="47" spans="1:8" ht="12" thickBot="1" x14ac:dyDescent="0.2">
      <c r="A47" s="6" t="s">
        <v>8</v>
      </c>
      <c r="B47" s="7">
        <v>9</v>
      </c>
      <c r="C47" s="8">
        <f t="shared" si="7"/>
        <v>4.95</v>
      </c>
      <c r="D47" s="8">
        <v>4.95</v>
      </c>
      <c r="E47" s="114" t="s">
        <v>89</v>
      </c>
      <c r="F47" s="7">
        <f>ROUNDUP(B47*$B$6/$B$7,0)</f>
        <v>1</v>
      </c>
      <c r="G47" s="10">
        <v>5.5</v>
      </c>
      <c r="H47" s="11">
        <f t="shared" si="9"/>
        <v>-0.54999999999999982</v>
      </c>
    </row>
    <row r="48" spans="1:8" ht="12" thickBot="1" x14ac:dyDescent="0.2">
      <c r="A48" s="6" t="s">
        <v>9</v>
      </c>
      <c r="B48" s="7">
        <v>151</v>
      </c>
      <c r="C48" s="8">
        <f t="shared" si="7"/>
        <v>83.050000000000011</v>
      </c>
      <c r="D48" s="8">
        <v>83.05</v>
      </c>
      <c r="E48" s="114" t="s">
        <v>89</v>
      </c>
      <c r="F48" s="7">
        <f>ROUNDUP(B48*$B$6/$B$7,0)</f>
        <v>14</v>
      </c>
      <c r="G48" s="10">
        <f t="shared" si="8"/>
        <v>84</v>
      </c>
      <c r="H48" s="11">
        <f t="shared" si="9"/>
        <v>-0.94999999999998863</v>
      </c>
    </row>
    <row r="49" spans="1:8" ht="12" thickBot="1" x14ac:dyDescent="0.2">
      <c r="A49" s="109" t="s">
        <v>87</v>
      </c>
      <c r="B49" s="12">
        <f>SUM(B46:B48)</f>
        <v>190</v>
      </c>
      <c r="C49" s="43">
        <f t="shared" ref="C49:H49" si="10">SUM(C46:C48)</f>
        <v>104.50000000000001</v>
      </c>
      <c r="D49" s="43">
        <f t="shared" si="10"/>
        <v>104.5</v>
      </c>
      <c r="E49" s="65" t="s">
        <v>88</v>
      </c>
      <c r="F49" s="12">
        <f t="shared" si="10"/>
        <v>18</v>
      </c>
      <c r="G49" s="12">
        <f t="shared" si="10"/>
        <v>107.5</v>
      </c>
      <c r="H49" s="43">
        <f t="shared" si="10"/>
        <v>-2.9999999999999885</v>
      </c>
    </row>
    <row r="50" spans="1:8" ht="12" thickBot="1" x14ac:dyDescent="0.2">
      <c r="A50" s="25" t="s">
        <v>11</v>
      </c>
      <c r="B50" s="35">
        <v>145</v>
      </c>
      <c r="C50" s="16">
        <v>79.75</v>
      </c>
      <c r="D50" s="16">
        <v>0</v>
      </c>
      <c r="E50" s="114" t="s">
        <v>90</v>
      </c>
      <c r="F50" s="7">
        <v>0</v>
      </c>
      <c r="G50" s="17">
        <v>0</v>
      </c>
      <c r="H50" s="18" t="s">
        <v>13</v>
      </c>
    </row>
    <row r="51" spans="1:8" ht="34.5" thickBot="1" x14ac:dyDescent="0.2">
      <c r="A51" s="78" t="s">
        <v>52</v>
      </c>
      <c r="B51" s="36">
        <f>B50+B49+B45</f>
        <v>460</v>
      </c>
    </row>
    <row r="52" spans="1:8" ht="12" thickBot="1" x14ac:dyDescent="0.2">
      <c r="A52" s="37"/>
      <c r="B52" s="38"/>
    </row>
    <row r="53" spans="1:8" ht="15" thickBot="1" x14ac:dyDescent="0.2">
      <c r="A53" s="192" t="s">
        <v>97</v>
      </c>
      <c r="B53" s="193"/>
      <c r="C53" s="193"/>
      <c r="D53" s="193"/>
      <c r="E53" s="194"/>
    </row>
    <row r="54" spans="1:8" ht="11.25" customHeight="1" x14ac:dyDescent="0.15">
      <c r="A54" s="195" t="s">
        <v>53</v>
      </c>
      <c r="B54" s="73" t="s">
        <v>14</v>
      </c>
      <c r="C54" s="73"/>
      <c r="D54" s="73"/>
      <c r="E54" s="73" t="s">
        <v>15</v>
      </c>
    </row>
    <row r="55" spans="1:8" ht="23.25" thickBot="1" x14ac:dyDescent="0.2">
      <c r="A55" s="196"/>
      <c r="B55" s="71" t="s">
        <v>54</v>
      </c>
      <c r="C55" s="71"/>
      <c r="D55" s="71"/>
      <c r="E55" s="71" t="s">
        <v>57</v>
      </c>
    </row>
    <row r="56" spans="1:8" ht="11.25" customHeight="1" x14ac:dyDescent="0.15">
      <c r="A56" s="197" t="s">
        <v>56</v>
      </c>
      <c r="B56" s="200" t="s">
        <v>55</v>
      </c>
      <c r="C56" s="63"/>
      <c r="D56" s="197"/>
      <c r="E56" s="213" t="s">
        <v>131</v>
      </c>
    </row>
    <row r="57" spans="1:8" x14ac:dyDescent="0.15">
      <c r="A57" s="198"/>
      <c r="B57" s="201"/>
      <c r="C57" s="116"/>
      <c r="D57" s="198"/>
      <c r="E57" s="198"/>
    </row>
    <row r="58" spans="1:8" ht="12" thickBot="1" x14ac:dyDescent="0.2">
      <c r="A58" s="199"/>
      <c r="B58" s="202"/>
      <c r="C58" s="69"/>
      <c r="D58" s="199"/>
      <c r="E58" s="199"/>
    </row>
    <row r="59" spans="1:8" ht="21" customHeight="1" thickBot="1" x14ac:dyDescent="0.2">
      <c r="A59" s="20" t="s">
        <v>25</v>
      </c>
      <c r="B59" s="21">
        <f>ROUNDDOWN(F45*$B$7/$B$6,1)</f>
        <v>120</v>
      </c>
      <c r="C59" s="22"/>
      <c r="D59" s="22"/>
      <c r="E59" s="22">
        <v>0</v>
      </c>
    </row>
    <row r="60" spans="1:8" ht="23.25" thickBot="1" x14ac:dyDescent="0.2">
      <c r="A60" s="27"/>
      <c r="B60" s="28"/>
      <c r="C60" s="29" t="s">
        <v>59</v>
      </c>
      <c r="D60" s="30" t="s">
        <v>22</v>
      </c>
      <c r="E60" s="32" t="s">
        <v>23</v>
      </c>
    </row>
    <row r="61" spans="1:8" ht="12" thickBot="1" x14ac:dyDescent="0.2">
      <c r="A61" s="162" t="s">
        <v>72</v>
      </c>
      <c r="B61" s="163">
        <f>B59*$B$6/$B$7</f>
        <v>11</v>
      </c>
      <c r="C61" s="164">
        <f>INT(B61)</f>
        <v>11</v>
      </c>
      <c r="D61" s="163">
        <f>B61-C61</f>
        <v>0</v>
      </c>
      <c r="E61" s="165">
        <f>ROUNDDOWN(D61*$B$7/$B$6,2)</f>
        <v>0</v>
      </c>
    </row>
    <row r="62" spans="1:8" x14ac:dyDescent="0.15">
      <c r="A62" s="40"/>
      <c r="B62" s="31"/>
      <c r="C62" s="31"/>
      <c r="D62" s="31"/>
      <c r="E62" s="42"/>
    </row>
    <row r="63" spans="1:8" ht="12" thickBot="1" x14ac:dyDescent="0.2">
      <c r="A63" s="20" t="s">
        <v>25</v>
      </c>
      <c r="B63" s="21">
        <f>ROUNDDOWN(F49*$B$7/$B$6,1)</f>
        <v>196.3</v>
      </c>
      <c r="C63" s="22">
        <f>B49</f>
        <v>190</v>
      </c>
      <c r="D63" s="22">
        <f>H49</f>
        <v>-2.9999999999999885</v>
      </c>
      <c r="E63" s="22">
        <v>0</v>
      </c>
    </row>
    <row r="64" spans="1:8" ht="23.25" thickBot="1" x14ac:dyDescent="0.2">
      <c r="A64" s="27"/>
      <c r="B64" s="28"/>
      <c r="C64" s="29" t="s">
        <v>59</v>
      </c>
      <c r="D64" s="30" t="s">
        <v>22</v>
      </c>
      <c r="E64" s="32" t="s">
        <v>23</v>
      </c>
    </row>
    <row r="65" spans="1:8" ht="12" thickBot="1" x14ac:dyDescent="0.2">
      <c r="A65" s="162" t="s">
        <v>72</v>
      </c>
      <c r="B65" s="163">
        <f>B63*$B$6/$B$7</f>
        <v>17.994166666666668</v>
      </c>
      <c r="C65" s="164">
        <f>INT(B65)</f>
        <v>17</v>
      </c>
      <c r="D65" s="163">
        <f>B65-C65</f>
        <v>0.99416666666666842</v>
      </c>
      <c r="E65" s="165">
        <v>5.97</v>
      </c>
    </row>
    <row r="66" spans="1:8" x14ac:dyDescent="0.15">
      <c r="A66" s="40"/>
      <c r="B66" s="31"/>
      <c r="C66" s="31"/>
      <c r="D66" s="31"/>
      <c r="E66" s="42"/>
    </row>
    <row r="67" spans="1:8" ht="12" thickBot="1" x14ac:dyDescent="0.2">
      <c r="A67" s="1"/>
    </row>
    <row r="68" spans="1:8" ht="23.25" thickBot="1" x14ac:dyDescent="0.2">
      <c r="A68" s="78" t="s">
        <v>60</v>
      </c>
      <c r="B68" s="79" t="s">
        <v>61</v>
      </c>
      <c r="C68" s="79" t="s">
        <v>42</v>
      </c>
      <c r="D68" s="79" t="s">
        <v>62</v>
      </c>
      <c r="E68" s="33" t="s">
        <v>24</v>
      </c>
      <c r="F68" s="79" t="s">
        <v>63</v>
      </c>
    </row>
    <row r="69" spans="1:8" ht="34.5" thickBot="1" x14ac:dyDescent="0.2">
      <c r="A69" s="109" t="s">
        <v>64</v>
      </c>
      <c r="B69" s="117" t="s">
        <v>65</v>
      </c>
      <c r="C69" s="117" t="s">
        <v>66</v>
      </c>
      <c r="D69" s="117" t="s">
        <v>67</v>
      </c>
      <c r="E69" s="118" t="s">
        <v>130</v>
      </c>
      <c r="F69" s="117" t="s">
        <v>69</v>
      </c>
    </row>
    <row r="70" spans="1:8" ht="12" thickBot="1" x14ac:dyDescent="0.2">
      <c r="A70" s="109" t="s">
        <v>75</v>
      </c>
      <c r="B70" s="23">
        <f>B51*$B$6</f>
        <v>253.00000000000003</v>
      </c>
      <c r="C70" s="23">
        <f>(C61+C65)*$B$7</f>
        <v>168</v>
      </c>
      <c r="D70" s="23">
        <f>(B51-(B59+B63))*$B$6</f>
        <v>79.034999999999997</v>
      </c>
      <c r="E70" s="34">
        <f>E65</f>
        <v>5.97</v>
      </c>
      <c r="F70" s="24">
        <f>B70-(C70+D70+E70)</f>
        <v>-4.9999999999670308E-3</v>
      </c>
    </row>
    <row r="74" spans="1:8" ht="11.25" customHeight="1" x14ac:dyDescent="0.15">
      <c r="A74" s="210"/>
      <c r="B74" s="208"/>
      <c r="C74" s="40"/>
      <c r="D74" s="208"/>
      <c r="E74" s="208"/>
      <c r="F74" s="206"/>
      <c r="G74" s="206"/>
      <c r="H74" s="206"/>
    </row>
    <row r="75" spans="1:8" x14ac:dyDescent="0.15">
      <c r="A75" s="210"/>
      <c r="B75" s="208"/>
      <c r="C75" s="40"/>
      <c r="D75" s="208"/>
      <c r="E75" s="208"/>
      <c r="F75" s="206"/>
      <c r="G75" s="206"/>
      <c r="H75" s="206"/>
    </row>
    <row r="76" spans="1:8" x14ac:dyDescent="0.15">
      <c r="A76" s="174"/>
      <c r="B76" s="175"/>
      <c r="C76" s="176"/>
      <c r="D76" s="176"/>
      <c r="E76" s="174"/>
      <c r="F76" s="175"/>
      <c r="G76" s="176"/>
      <c r="H76" s="176"/>
    </row>
    <row r="77" spans="1:8" x14ac:dyDescent="0.15">
      <c r="A77" s="174"/>
      <c r="B77" s="175"/>
      <c r="C77" s="176"/>
      <c r="D77" s="176"/>
      <c r="E77" s="174"/>
      <c r="F77" s="175"/>
      <c r="G77" s="176"/>
      <c r="H77" s="176"/>
    </row>
    <row r="78" spans="1:8" x14ac:dyDescent="0.15">
      <c r="A78" s="174"/>
      <c r="B78" s="175"/>
      <c r="C78" s="176"/>
      <c r="D78" s="176"/>
      <c r="E78" s="174"/>
      <c r="F78" s="175"/>
      <c r="G78" s="176"/>
      <c r="H78" s="176"/>
    </row>
    <row r="79" spans="1:8" x14ac:dyDescent="0.15">
      <c r="A79" s="174"/>
      <c r="B79" s="175"/>
      <c r="C79" s="176"/>
      <c r="D79" s="176"/>
      <c r="E79" s="174"/>
      <c r="F79" s="175"/>
      <c r="G79" s="176"/>
      <c r="H79" s="176"/>
    </row>
    <row r="80" spans="1:8" x14ac:dyDescent="0.15">
      <c r="A80" s="174"/>
      <c r="B80" s="175"/>
      <c r="C80" s="177"/>
      <c r="D80" s="177"/>
      <c r="E80" s="174"/>
      <c r="F80" s="175"/>
      <c r="G80" s="177"/>
      <c r="H80" s="177"/>
    </row>
    <row r="81" spans="1:8" x14ac:dyDescent="0.15">
      <c r="A81" s="40"/>
      <c r="B81" s="31"/>
      <c r="C81" s="139"/>
      <c r="D81" s="139"/>
      <c r="E81" s="139"/>
      <c r="F81" s="139"/>
      <c r="G81" s="139"/>
      <c r="H81" s="139"/>
    </row>
    <row r="82" spans="1:8" x14ac:dyDescent="0.15">
      <c r="A82" s="40"/>
      <c r="B82" s="31"/>
      <c r="C82" s="139"/>
      <c r="D82" s="139"/>
      <c r="E82" s="139"/>
      <c r="F82" s="139"/>
      <c r="G82" s="139"/>
      <c r="H82" s="139"/>
    </row>
    <row r="83" spans="1:8" ht="14.25" x14ac:dyDescent="0.15">
      <c r="A83" s="207"/>
      <c r="B83" s="207"/>
      <c r="C83" s="207"/>
      <c r="D83" s="207"/>
      <c r="E83" s="207"/>
      <c r="F83" s="139"/>
      <c r="G83" s="139"/>
      <c r="H83" s="139"/>
    </row>
    <row r="84" spans="1:8" ht="11.25" customHeight="1" x14ac:dyDescent="0.15">
      <c r="A84" s="208"/>
      <c r="B84" s="31"/>
      <c r="C84" s="31"/>
      <c r="D84" s="31"/>
      <c r="E84" s="31"/>
      <c r="F84" s="139"/>
      <c r="G84" s="139"/>
      <c r="H84" s="139"/>
    </row>
    <row r="85" spans="1:8" x14ac:dyDescent="0.15">
      <c r="A85" s="208"/>
      <c r="B85" s="31"/>
      <c r="C85" s="31"/>
      <c r="D85" s="31"/>
      <c r="E85" s="31"/>
      <c r="F85" s="139"/>
      <c r="G85" s="139"/>
      <c r="H85" s="139"/>
    </row>
    <row r="86" spans="1:8" ht="11.25" customHeight="1" x14ac:dyDescent="0.15">
      <c r="A86" s="209"/>
      <c r="B86" s="211"/>
      <c r="C86" s="139"/>
      <c r="D86" s="209"/>
      <c r="E86" s="210"/>
      <c r="F86" s="139"/>
      <c r="G86" s="139"/>
      <c r="H86" s="139"/>
    </row>
    <row r="87" spans="1:8" x14ac:dyDescent="0.15">
      <c r="A87" s="210"/>
      <c r="B87" s="212"/>
      <c r="C87" s="178"/>
      <c r="D87" s="210"/>
      <c r="E87" s="210"/>
      <c r="F87" s="139"/>
      <c r="G87" s="139"/>
      <c r="H87" s="139"/>
    </row>
    <row r="88" spans="1:8" x14ac:dyDescent="0.15">
      <c r="A88" s="210"/>
      <c r="B88" s="212"/>
      <c r="C88" s="174"/>
      <c r="D88" s="210"/>
      <c r="E88" s="210"/>
      <c r="F88" s="139"/>
      <c r="G88" s="139"/>
      <c r="H88" s="139"/>
    </row>
    <row r="89" spans="1:8" x14ac:dyDescent="0.15">
      <c r="A89" s="40"/>
      <c r="B89" s="173"/>
      <c r="C89" s="31"/>
      <c r="D89" s="42"/>
      <c r="E89" s="31"/>
      <c r="F89" s="139"/>
      <c r="G89" s="139"/>
      <c r="H89" s="139"/>
    </row>
    <row r="90" spans="1:8" x14ac:dyDescent="0.15">
      <c r="A90" s="40"/>
      <c r="B90" s="173"/>
      <c r="C90" s="31"/>
      <c r="D90" s="31"/>
      <c r="E90" s="31"/>
      <c r="F90" s="139"/>
      <c r="G90" s="139"/>
      <c r="H90" s="139"/>
    </row>
    <row r="91" spans="1:8" x14ac:dyDescent="0.15">
      <c r="A91" s="40"/>
      <c r="B91" s="31"/>
      <c r="C91" s="31"/>
      <c r="D91" s="31"/>
      <c r="E91" s="42"/>
      <c r="F91" s="139"/>
      <c r="G91" s="139"/>
      <c r="H91" s="139"/>
    </row>
    <row r="92" spans="1:8" x14ac:dyDescent="0.15">
      <c r="A92" s="40"/>
      <c r="B92" s="31"/>
      <c r="C92" s="31"/>
      <c r="D92" s="31"/>
      <c r="E92" s="42"/>
      <c r="F92" s="139"/>
      <c r="G92" s="139"/>
      <c r="H92" s="139"/>
    </row>
    <row r="93" spans="1:8" x14ac:dyDescent="0.15">
      <c r="A93" s="40"/>
      <c r="B93" s="173"/>
      <c r="C93" s="31"/>
      <c r="D93" s="42"/>
      <c r="E93" s="31"/>
      <c r="F93" s="139"/>
      <c r="G93" s="139"/>
      <c r="H93" s="139"/>
    </row>
    <row r="94" spans="1:8" x14ac:dyDescent="0.15">
      <c r="A94" s="40"/>
      <c r="B94" s="173"/>
      <c r="C94" s="31"/>
      <c r="D94" s="31"/>
      <c r="E94" s="31"/>
      <c r="F94" s="139"/>
      <c r="G94" s="139"/>
      <c r="H94" s="139"/>
    </row>
    <row r="95" spans="1:8" x14ac:dyDescent="0.15">
      <c r="A95" s="40"/>
      <c r="B95" s="31"/>
      <c r="C95" s="31"/>
      <c r="D95" s="31"/>
      <c r="E95" s="42"/>
      <c r="F95" s="139"/>
      <c r="G95" s="139"/>
      <c r="H95" s="139"/>
    </row>
    <row r="96" spans="1:8" x14ac:dyDescent="0.15">
      <c r="A96" s="40"/>
      <c r="B96" s="31"/>
      <c r="C96" s="31"/>
      <c r="D96" s="31"/>
      <c r="E96" s="42"/>
      <c r="F96" s="139"/>
      <c r="G96" s="139"/>
      <c r="H96" s="139"/>
    </row>
    <row r="97" spans="1:8" x14ac:dyDescent="0.15">
      <c r="A97" s="40"/>
      <c r="B97" s="173"/>
      <c r="C97" s="31"/>
      <c r="D97" s="42"/>
      <c r="E97" s="31"/>
      <c r="F97" s="139"/>
      <c r="G97" s="139"/>
      <c r="H97" s="139"/>
    </row>
    <row r="98" spans="1:8" x14ac:dyDescent="0.15">
      <c r="A98" s="40"/>
      <c r="B98" s="173"/>
      <c r="C98" s="31"/>
      <c r="D98" s="31"/>
      <c r="E98" s="31"/>
      <c r="F98" s="139"/>
      <c r="G98" s="139"/>
      <c r="H98" s="139"/>
    </row>
    <row r="99" spans="1:8" x14ac:dyDescent="0.15">
      <c r="A99" s="40"/>
      <c r="B99" s="31"/>
      <c r="C99" s="31"/>
      <c r="D99" s="31"/>
      <c r="E99" s="42"/>
      <c r="F99" s="139"/>
      <c r="G99" s="139"/>
      <c r="H99" s="139"/>
    </row>
    <row r="100" spans="1:8" x14ac:dyDescent="0.15">
      <c r="A100" s="40"/>
      <c r="B100" s="31"/>
      <c r="C100" s="31"/>
      <c r="D100" s="31"/>
      <c r="E100" s="42"/>
      <c r="F100" s="139"/>
      <c r="G100" s="139"/>
      <c r="H100" s="139"/>
    </row>
    <row r="101" spans="1:8" x14ac:dyDescent="0.15">
      <c r="A101" s="40"/>
      <c r="B101" s="173"/>
      <c r="C101" s="31"/>
      <c r="D101" s="42"/>
      <c r="E101" s="31"/>
      <c r="F101" s="139"/>
      <c r="G101" s="139"/>
      <c r="H101" s="139"/>
    </row>
    <row r="102" spans="1:8" x14ac:dyDescent="0.15">
      <c r="A102" s="40"/>
      <c r="B102" s="173"/>
      <c r="C102" s="31"/>
      <c r="D102" s="31"/>
      <c r="E102" s="31"/>
      <c r="F102" s="139"/>
      <c r="G102" s="139"/>
      <c r="H102" s="139"/>
    </row>
    <row r="103" spans="1:8" x14ac:dyDescent="0.15">
      <c r="A103" s="40"/>
      <c r="B103" s="31"/>
      <c r="C103" s="31"/>
      <c r="D103" s="31"/>
      <c r="E103" s="42"/>
      <c r="F103" s="139"/>
      <c r="G103" s="139"/>
      <c r="H103" s="139"/>
    </row>
    <row r="104" spans="1:8" x14ac:dyDescent="0.15">
      <c r="A104" s="40"/>
      <c r="B104" s="31"/>
      <c r="C104" s="31"/>
      <c r="D104" s="31"/>
      <c r="E104" s="42"/>
      <c r="F104" s="139"/>
      <c r="G104" s="139"/>
      <c r="H104" s="139"/>
    </row>
    <row r="105" spans="1:8" x14ac:dyDescent="0.15">
      <c r="A105" s="40"/>
      <c r="B105" s="31"/>
      <c r="C105" s="31"/>
      <c r="D105" s="31"/>
      <c r="E105" s="42"/>
      <c r="F105" s="139"/>
      <c r="G105" s="139"/>
      <c r="H105" s="139"/>
    </row>
    <row r="106" spans="1:8" x14ac:dyDescent="0.15">
      <c r="A106" s="179"/>
      <c r="B106" s="139"/>
      <c r="C106" s="139"/>
      <c r="D106" s="139"/>
      <c r="E106" s="139"/>
      <c r="F106" s="139"/>
      <c r="G106" s="139"/>
      <c r="H106" s="139"/>
    </row>
    <row r="107" spans="1:8" x14ac:dyDescent="0.15">
      <c r="A107" s="40"/>
      <c r="B107" s="40"/>
      <c r="C107" s="40"/>
      <c r="D107" s="40"/>
      <c r="E107" s="31"/>
      <c r="F107" s="40"/>
      <c r="G107" s="139"/>
      <c r="H107" s="139"/>
    </row>
    <row r="108" spans="1:8" x14ac:dyDescent="0.15">
      <c r="A108" s="40"/>
      <c r="B108" s="180"/>
      <c r="C108" s="180"/>
      <c r="D108" s="180"/>
      <c r="E108" s="180"/>
      <c r="F108" s="180"/>
      <c r="G108" s="139"/>
      <c r="H108" s="139"/>
    </row>
    <row r="109" spans="1:8" x14ac:dyDescent="0.15">
      <c r="A109" s="40"/>
      <c r="B109" s="181"/>
      <c r="C109" s="181"/>
      <c r="D109" s="181"/>
      <c r="E109" s="182"/>
      <c r="F109" s="183"/>
      <c r="G109" s="139"/>
      <c r="H109" s="139"/>
    </row>
  </sheetData>
  <mergeCells count="39">
    <mergeCell ref="H12:H13"/>
    <mergeCell ref="A22:E22"/>
    <mergeCell ref="A23:A24"/>
    <mergeCell ref="A25:A27"/>
    <mergeCell ref="B25:B27"/>
    <mergeCell ref="D25:D27"/>
    <mergeCell ref="E25:E27"/>
    <mergeCell ref="A12:A13"/>
    <mergeCell ref="B12:B13"/>
    <mergeCell ref="D12:D13"/>
    <mergeCell ref="E12:E13"/>
    <mergeCell ref="F12:F13"/>
    <mergeCell ref="G12:G13"/>
    <mergeCell ref="H42:H43"/>
    <mergeCell ref="A53:E53"/>
    <mergeCell ref="A54:A55"/>
    <mergeCell ref="A56:A58"/>
    <mergeCell ref="B56:B58"/>
    <mergeCell ref="D56:D58"/>
    <mergeCell ref="E56:E58"/>
    <mergeCell ref="A42:A43"/>
    <mergeCell ref="B42:B43"/>
    <mergeCell ref="D42:D43"/>
    <mergeCell ref="E42:E43"/>
    <mergeCell ref="F42:F43"/>
    <mergeCell ref="G42:G43"/>
    <mergeCell ref="H74:H75"/>
    <mergeCell ref="A83:E83"/>
    <mergeCell ref="A84:A85"/>
    <mergeCell ref="A86:A88"/>
    <mergeCell ref="B86:B88"/>
    <mergeCell ref="D86:D88"/>
    <mergeCell ref="E86:E88"/>
    <mergeCell ref="A74:A75"/>
    <mergeCell ref="B74:B75"/>
    <mergeCell ref="D74:D75"/>
    <mergeCell ref="E74:E75"/>
    <mergeCell ref="F74:F75"/>
    <mergeCell ref="G74:G75"/>
  </mergeCells>
  <pageMargins left="0.70866141732283472" right="0.70866141732283472" top="0.74803149606299213" bottom="0.74803149606299213" header="0.31496062992125984" footer="0.31496062992125984"/>
  <pageSetup paperSize="9" fitToHeight="3" orientation="landscape" r:id="rId1"/>
  <headerFooter differentOddEven="1">
    <oddFooter>&amp;L&amp;"Arial,Regular"&amp;9Information Classification: Limited Access</oddFooter>
    <evenFooter>&amp;L&amp;"Arial,Regular"&amp;9Information Classification: Limited Access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opLeftCell="B82" zoomScale="90" zoomScaleNormal="90" workbookViewId="0">
      <selection activeCell="G87" sqref="F87:G87"/>
    </sheetView>
  </sheetViews>
  <sheetFormatPr defaultColWidth="11" defaultRowHeight="11.25" x14ac:dyDescent="0.15"/>
  <cols>
    <col min="1" max="1" width="22.125" customWidth="1"/>
    <col min="2" max="2" width="25" customWidth="1"/>
    <col min="3" max="3" width="24.375" customWidth="1"/>
    <col min="4" max="4" width="21.375" customWidth="1"/>
    <col min="5" max="5" width="20.875" customWidth="1"/>
    <col min="6" max="6" width="29.25" customWidth="1"/>
    <col min="7" max="7" width="21.125" customWidth="1"/>
    <col min="8" max="8" width="25.5" customWidth="1"/>
  </cols>
  <sheetData>
    <row r="1" spans="1:10" ht="18" x14ac:dyDescent="0.25">
      <c r="A1" s="110" t="s">
        <v>76</v>
      </c>
      <c r="B1" s="110" t="s">
        <v>77</v>
      </c>
    </row>
    <row r="2" spans="1:10" x14ac:dyDescent="0.15">
      <c r="A2" s="1"/>
    </row>
    <row r="3" spans="1:10" ht="12" thickBot="1" x14ac:dyDescent="0.2">
      <c r="A3" s="1"/>
    </row>
    <row r="4" spans="1:10" ht="12" thickBot="1" x14ac:dyDescent="0.2">
      <c r="A4" s="2" t="s">
        <v>0</v>
      </c>
      <c r="B4" s="3">
        <f>B7/B6</f>
        <v>10</v>
      </c>
      <c r="C4" s="3" t="s">
        <v>34</v>
      </c>
      <c r="D4" s="3">
        <v>1</v>
      </c>
      <c r="E4" s="4" t="s">
        <v>35</v>
      </c>
    </row>
    <row r="5" spans="1:10" x14ac:dyDescent="0.15">
      <c r="A5" s="72"/>
      <c r="B5" s="63"/>
      <c r="C5" s="63"/>
      <c r="D5" s="63"/>
      <c r="E5" s="63"/>
    </row>
    <row r="6" spans="1:10" x14ac:dyDescent="0.15">
      <c r="A6" s="111" t="s">
        <v>36</v>
      </c>
      <c r="B6" s="63">
        <v>0.55000000000000004</v>
      </c>
      <c r="C6" s="63" t="s">
        <v>1</v>
      </c>
      <c r="D6" s="63"/>
      <c r="E6" s="63"/>
    </row>
    <row r="7" spans="1:10" x14ac:dyDescent="0.15">
      <c r="A7" s="111" t="s">
        <v>37</v>
      </c>
      <c r="B7" s="63">
        <v>5.5</v>
      </c>
      <c r="C7" s="63" t="s">
        <v>1</v>
      </c>
      <c r="D7" s="63"/>
      <c r="E7" s="63"/>
    </row>
    <row r="8" spans="1:10" x14ac:dyDescent="0.15">
      <c r="A8" s="1"/>
    </row>
    <row r="9" spans="1:10" s="63" customFormat="1" x14ac:dyDescent="0.15">
      <c r="A9" s="72"/>
    </row>
    <row r="10" spans="1:10" s="63" customFormat="1" x14ac:dyDescent="0.15">
      <c r="A10" s="72"/>
    </row>
    <row r="11" spans="1:10" ht="12" thickBot="1" x14ac:dyDescent="0.2">
      <c r="A11" s="53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1.25" customHeight="1" x14ac:dyDescent="0.15">
      <c r="A12" s="203"/>
      <c r="B12" s="195" t="s">
        <v>45</v>
      </c>
      <c r="C12" s="64" t="s">
        <v>40</v>
      </c>
      <c r="D12" s="195" t="s">
        <v>79</v>
      </c>
      <c r="E12" s="195" t="s">
        <v>42</v>
      </c>
      <c r="F12" s="195" t="s">
        <v>43</v>
      </c>
      <c r="G12" s="190" t="s">
        <v>81</v>
      </c>
      <c r="H12" s="195" t="s">
        <v>82</v>
      </c>
      <c r="I12" s="204" t="s">
        <v>46</v>
      </c>
      <c r="J12" s="190" t="s">
        <v>80</v>
      </c>
    </row>
    <row r="13" spans="1:10" ht="12" thickBot="1" x14ac:dyDescent="0.2">
      <c r="A13" s="199"/>
      <c r="B13" s="196"/>
      <c r="C13" s="65" t="s">
        <v>41</v>
      </c>
      <c r="D13" s="196"/>
      <c r="E13" s="196"/>
      <c r="F13" s="196"/>
      <c r="G13" s="191"/>
      <c r="H13" s="196"/>
      <c r="I13" s="205"/>
      <c r="J13" s="191" t="s">
        <v>3</v>
      </c>
    </row>
    <row r="14" spans="1:10" ht="12" thickBot="1" x14ac:dyDescent="0.2">
      <c r="A14" s="46" t="s">
        <v>4</v>
      </c>
      <c r="B14" s="47">
        <v>125</v>
      </c>
      <c r="C14" s="58">
        <f>B14*$B$6</f>
        <v>68.75</v>
      </c>
      <c r="D14" s="54">
        <v>0</v>
      </c>
      <c r="E14" s="87">
        <f>C14-(C14*D14)</f>
        <v>68.75</v>
      </c>
      <c r="F14" s="114" t="s">
        <v>83</v>
      </c>
      <c r="G14" s="67">
        <f>ROUNDDOWN(E14/$B$7,0)</f>
        <v>12</v>
      </c>
      <c r="H14" s="47">
        <v>0</v>
      </c>
      <c r="I14" s="57">
        <v>66</v>
      </c>
      <c r="J14" s="56">
        <v>2.75</v>
      </c>
    </row>
    <row r="15" spans="1:10" ht="12" thickBot="1" x14ac:dyDescent="0.2">
      <c r="A15" s="46" t="s">
        <v>6</v>
      </c>
      <c r="B15" s="47">
        <v>30</v>
      </c>
      <c r="C15" s="58">
        <f t="shared" ref="C15:C19" si="0">B15*$B$6</f>
        <v>16.5</v>
      </c>
      <c r="D15" s="54">
        <v>0.3</v>
      </c>
      <c r="E15" s="87">
        <f t="shared" ref="E15:E19" si="1">C15-(C15*D15)</f>
        <v>11.55</v>
      </c>
      <c r="F15" s="114" t="s">
        <v>84</v>
      </c>
      <c r="G15" s="67">
        <f>ROUNDUP(E15/$B$7,0)</f>
        <v>3</v>
      </c>
      <c r="H15" s="47">
        <v>1</v>
      </c>
      <c r="I15" s="57">
        <v>16.5</v>
      </c>
      <c r="J15" s="56">
        <v>0</v>
      </c>
    </row>
    <row r="16" spans="1:10" ht="12" thickBot="1" x14ac:dyDescent="0.2">
      <c r="A16" s="46" t="s">
        <v>8</v>
      </c>
      <c r="B16" s="47">
        <v>9</v>
      </c>
      <c r="C16" s="58">
        <f t="shared" si="0"/>
        <v>4.95</v>
      </c>
      <c r="D16" s="54">
        <v>0</v>
      </c>
      <c r="E16" s="87">
        <f t="shared" si="1"/>
        <v>4.95</v>
      </c>
      <c r="F16" s="114" t="s">
        <v>84</v>
      </c>
      <c r="G16" s="67">
        <f t="shared" ref="G16:G17" si="2">ROUNDUP(E16/$B$7,0)</f>
        <v>1</v>
      </c>
      <c r="H16" s="47">
        <v>1</v>
      </c>
      <c r="I16" s="57">
        <v>5.5</v>
      </c>
      <c r="J16" s="56">
        <v>-0.54999999999999982</v>
      </c>
    </row>
    <row r="17" spans="1:10" ht="12" thickBot="1" x14ac:dyDescent="0.2">
      <c r="A17" s="46" t="s">
        <v>9</v>
      </c>
      <c r="B17" s="47">
        <v>151</v>
      </c>
      <c r="C17" s="58">
        <f t="shared" si="0"/>
        <v>83.050000000000011</v>
      </c>
      <c r="D17" s="54">
        <v>0.15</v>
      </c>
      <c r="E17" s="87">
        <f t="shared" si="1"/>
        <v>70.592500000000015</v>
      </c>
      <c r="F17" s="114" t="s">
        <v>84</v>
      </c>
      <c r="G17" s="67">
        <f t="shared" si="2"/>
        <v>13</v>
      </c>
      <c r="H17" s="47">
        <v>1</v>
      </c>
      <c r="I17" s="57">
        <v>71.5</v>
      </c>
      <c r="J17" s="56">
        <v>11.550000000000011</v>
      </c>
    </row>
    <row r="18" spans="1:10" ht="12" thickBot="1" x14ac:dyDescent="0.2">
      <c r="A18" s="109" t="s">
        <v>10</v>
      </c>
      <c r="B18" s="49">
        <f>SUM(B14:B17)</f>
        <v>315</v>
      </c>
      <c r="C18" s="62">
        <f>SUM(C14:C17)</f>
        <v>173.25</v>
      </c>
      <c r="D18" s="49"/>
      <c r="E18" s="87">
        <f>SUM(E14:E17)</f>
        <v>155.84250000000003</v>
      </c>
      <c r="F18" s="114" t="s">
        <v>83</v>
      </c>
      <c r="G18" s="49">
        <f>SUM(G14:G17)</f>
        <v>29</v>
      </c>
      <c r="H18" s="49">
        <v>3</v>
      </c>
      <c r="I18" s="59">
        <v>159.5</v>
      </c>
      <c r="J18" s="61">
        <v>13.750000000000011</v>
      </c>
    </row>
    <row r="19" spans="1:10" ht="12" thickBot="1" x14ac:dyDescent="0.2">
      <c r="A19" s="46" t="s">
        <v>11</v>
      </c>
      <c r="B19" s="47">
        <v>145</v>
      </c>
      <c r="C19" s="58">
        <f t="shared" si="0"/>
        <v>79.75</v>
      </c>
      <c r="D19" s="55">
        <v>0.155</v>
      </c>
      <c r="E19" s="87">
        <f t="shared" si="1"/>
        <v>67.388750000000002</v>
      </c>
      <c r="F19" s="114" t="s">
        <v>49</v>
      </c>
      <c r="G19" s="47">
        <v>0</v>
      </c>
      <c r="H19" s="47">
        <v>0</v>
      </c>
      <c r="I19" s="48">
        <v>0</v>
      </c>
      <c r="J19" s="47" t="s">
        <v>13</v>
      </c>
    </row>
    <row r="20" spans="1:10" x14ac:dyDescent="0.15">
      <c r="A20" s="111" t="s">
        <v>85</v>
      </c>
      <c r="B20" s="60">
        <f>B19+B18</f>
        <v>460</v>
      </c>
      <c r="C20" s="45"/>
      <c r="D20" s="45"/>
      <c r="E20" s="45"/>
      <c r="F20" s="45"/>
      <c r="G20" s="45"/>
      <c r="H20" s="45"/>
      <c r="I20" s="45"/>
      <c r="J20" s="45"/>
    </row>
    <row r="21" spans="1:10" ht="12" thickBot="1" x14ac:dyDescent="0.2">
      <c r="F21" s="45"/>
      <c r="G21" s="45"/>
      <c r="H21" s="45"/>
      <c r="I21" s="45"/>
      <c r="J21" s="45"/>
    </row>
    <row r="22" spans="1:10" ht="25.5" customHeight="1" thickBot="1" x14ac:dyDescent="0.2">
      <c r="A22" s="192" t="s">
        <v>73</v>
      </c>
      <c r="B22" s="193"/>
      <c r="C22" s="193"/>
      <c r="D22" s="193"/>
      <c r="E22" s="194"/>
      <c r="F22" s="45"/>
      <c r="G22" s="45"/>
      <c r="H22" s="45"/>
      <c r="I22" s="45"/>
      <c r="J22" s="45"/>
    </row>
    <row r="23" spans="1:10" ht="11.25" customHeight="1" x14ac:dyDescent="0.15">
      <c r="A23" s="195" t="s">
        <v>53</v>
      </c>
      <c r="B23" s="73" t="s">
        <v>14</v>
      </c>
      <c r="C23" s="73"/>
      <c r="D23" s="73"/>
      <c r="E23" s="73" t="s">
        <v>15</v>
      </c>
    </row>
    <row r="24" spans="1:10" ht="23.25" thickBot="1" x14ac:dyDescent="0.2">
      <c r="A24" s="196"/>
      <c r="B24" s="71" t="s">
        <v>54</v>
      </c>
      <c r="C24" s="71"/>
      <c r="D24" s="71"/>
      <c r="E24" s="71" t="s">
        <v>57</v>
      </c>
    </row>
    <row r="25" spans="1:10" ht="45" x14ac:dyDescent="0.15">
      <c r="A25" s="197" t="s">
        <v>56</v>
      </c>
      <c r="B25" s="200" t="s">
        <v>55</v>
      </c>
      <c r="C25" s="116"/>
      <c r="D25" s="197"/>
      <c r="E25" s="130" t="s">
        <v>98</v>
      </c>
    </row>
    <row r="26" spans="1:10" x14ac:dyDescent="0.15">
      <c r="A26" s="198"/>
      <c r="B26" s="201"/>
      <c r="C26" s="63"/>
      <c r="D26" s="198"/>
      <c r="E26" s="134"/>
    </row>
    <row r="27" spans="1:10" ht="12" thickBot="1" x14ac:dyDescent="0.2">
      <c r="A27" s="199"/>
      <c r="B27" s="202"/>
      <c r="C27" s="69"/>
      <c r="D27" s="199"/>
      <c r="E27" s="132"/>
    </row>
    <row r="28" spans="1:10" ht="12" thickBot="1" x14ac:dyDescent="0.2">
      <c r="A28" s="51" t="s">
        <v>25</v>
      </c>
      <c r="B28" s="52">
        <f>G18*$B$7/$B$6</f>
        <v>290</v>
      </c>
      <c r="C28" s="52"/>
      <c r="D28" s="90"/>
      <c r="E28" s="52">
        <v>0</v>
      </c>
    </row>
    <row r="29" spans="1:10" ht="23.25" customHeight="1" thickBot="1" x14ac:dyDescent="0.2">
      <c r="A29" s="27"/>
      <c r="B29" s="28"/>
      <c r="C29" s="29" t="s">
        <v>59</v>
      </c>
      <c r="D29" s="30" t="s">
        <v>22</v>
      </c>
      <c r="E29" s="32" t="s">
        <v>23</v>
      </c>
    </row>
    <row r="30" spans="1:10" ht="27.75" customHeight="1" thickBot="1" x14ac:dyDescent="0.2">
      <c r="A30" s="162" t="s">
        <v>72</v>
      </c>
      <c r="B30" s="163">
        <f>B28*$B$6/$B$7</f>
        <v>29</v>
      </c>
      <c r="C30" s="164">
        <f>INT(B30)</f>
        <v>29</v>
      </c>
      <c r="D30" s="163">
        <f>B30-C30</f>
        <v>0</v>
      </c>
      <c r="E30" s="165">
        <f>ROUNDDOWN(D30*$B$7/$B$6,2)</f>
        <v>0</v>
      </c>
    </row>
    <row r="31" spans="1:10" ht="12" thickBot="1" x14ac:dyDescent="0.2">
      <c r="A31" s="50"/>
      <c r="B31" s="45"/>
      <c r="C31" s="45"/>
      <c r="D31" s="45"/>
      <c r="E31" s="45"/>
      <c r="F31" s="79"/>
    </row>
    <row r="32" spans="1:10" ht="23.25" thickBot="1" x14ac:dyDescent="0.2">
      <c r="A32" s="78" t="s">
        <v>60</v>
      </c>
      <c r="B32" s="79" t="s">
        <v>61</v>
      </c>
      <c r="C32" s="79" t="s">
        <v>42</v>
      </c>
      <c r="D32" s="79" t="s">
        <v>62</v>
      </c>
      <c r="E32" s="33" t="s">
        <v>24</v>
      </c>
      <c r="F32" s="79" t="s">
        <v>63</v>
      </c>
    </row>
    <row r="33" spans="1:10" ht="45.75" thickBot="1" x14ac:dyDescent="0.2">
      <c r="A33" s="109" t="s">
        <v>64</v>
      </c>
      <c r="B33" s="117" t="s">
        <v>65</v>
      </c>
      <c r="C33" s="117" t="s">
        <v>66</v>
      </c>
      <c r="D33" s="117" t="s">
        <v>67</v>
      </c>
      <c r="E33" s="118" t="s">
        <v>68</v>
      </c>
      <c r="F33" s="117" t="s">
        <v>100</v>
      </c>
    </row>
    <row r="34" spans="1:10" ht="12" thickBot="1" x14ac:dyDescent="0.2">
      <c r="A34" s="109" t="s">
        <v>71</v>
      </c>
      <c r="B34" s="91">
        <f>B20*$B$6</f>
        <v>253.00000000000003</v>
      </c>
      <c r="C34" s="91">
        <f>G18*$B$7</f>
        <v>159.5</v>
      </c>
      <c r="D34" s="91">
        <f>(B20-B28)*$B$6</f>
        <v>93.500000000000014</v>
      </c>
      <c r="E34" s="92">
        <f>D30/$B$7*$B$6</f>
        <v>0</v>
      </c>
      <c r="F34" s="89">
        <f>B34-(C34+D34+E34)</f>
        <v>0</v>
      </c>
    </row>
    <row r="36" spans="1:10" ht="12" thickBot="1" x14ac:dyDescent="0.2"/>
    <row r="37" spans="1:10" x14ac:dyDescent="0.15">
      <c r="A37" s="203"/>
      <c r="B37" s="195" t="s">
        <v>91</v>
      </c>
      <c r="C37" s="64" t="s">
        <v>61</v>
      </c>
      <c r="D37" s="195" t="s">
        <v>92</v>
      </c>
      <c r="E37" s="195" t="s">
        <v>93</v>
      </c>
      <c r="F37" s="195" t="s">
        <v>94</v>
      </c>
      <c r="G37" s="195" t="s">
        <v>95</v>
      </c>
      <c r="H37" s="195" t="s">
        <v>82</v>
      </c>
      <c r="I37" s="195" t="s">
        <v>96</v>
      </c>
      <c r="J37" s="64" t="s">
        <v>2</v>
      </c>
    </row>
    <row r="38" spans="1:10" ht="27" customHeight="1" thickBot="1" x14ac:dyDescent="0.2">
      <c r="A38" s="199"/>
      <c r="B38" s="196"/>
      <c r="C38" s="65"/>
      <c r="D38" s="196"/>
      <c r="E38" s="196"/>
      <c r="F38" s="196"/>
      <c r="G38" s="196"/>
      <c r="H38" s="196"/>
      <c r="I38" s="196"/>
      <c r="J38" s="65" t="s">
        <v>3</v>
      </c>
    </row>
    <row r="39" spans="1:10" ht="12" thickBot="1" x14ac:dyDescent="0.2">
      <c r="A39" s="66" t="s">
        <v>4</v>
      </c>
      <c r="B39" s="67">
        <v>125</v>
      </c>
      <c r="C39" s="87">
        <f>B39*$B$6</f>
        <v>68.75</v>
      </c>
      <c r="D39" s="80">
        <v>0</v>
      </c>
      <c r="E39" s="87">
        <f>C39-(C39*D39)</f>
        <v>68.75</v>
      </c>
      <c r="F39" s="114" t="s">
        <v>88</v>
      </c>
      <c r="G39" s="67">
        <f>ROUNDDOWN(E39/$B$7,0)</f>
        <v>12</v>
      </c>
      <c r="H39" s="67">
        <v>0</v>
      </c>
      <c r="I39" s="86">
        <v>66</v>
      </c>
      <c r="J39" s="84">
        <v>2.75</v>
      </c>
    </row>
    <row r="40" spans="1:10" s="63" customFormat="1" ht="12" thickBot="1" x14ac:dyDescent="0.2">
      <c r="A40" s="95" t="s">
        <v>28</v>
      </c>
      <c r="B40" s="85">
        <f>SUM(B39)</f>
        <v>125</v>
      </c>
      <c r="C40" s="93">
        <f t="shared" ref="C40:J40" si="3">SUM(C39)</f>
        <v>68.75</v>
      </c>
      <c r="D40" s="93">
        <f t="shared" si="3"/>
        <v>0</v>
      </c>
      <c r="E40" s="93">
        <f t="shared" si="3"/>
        <v>68.75</v>
      </c>
      <c r="F40" s="93">
        <f t="shared" si="3"/>
        <v>0</v>
      </c>
      <c r="G40" s="85">
        <f t="shared" si="3"/>
        <v>12</v>
      </c>
      <c r="H40" s="85">
        <f t="shared" si="3"/>
        <v>0</v>
      </c>
      <c r="I40" s="93">
        <f t="shared" si="3"/>
        <v>66</v>
      </c>
      <c r="J40" s="93">
        <f t="shared" si="3"/>
        <v>2.75</v>
      </c>
    </row>
    <row r="41" spans="1:10" ht="12" thickBot="1" x14ac:dyDescent="0.2">
      <c r="A41" s="66" t="s">
        <v>6</v>
      </c>
      <c r="B41" s="67">
        <v>30</v>
      </c>
      <c r="C41" s="87">
        <f t="shared" ref="C41:C45" si="4">B41*$B$6</f>
        <v>16.5</v>
      </c>
      <c r="D41" s="80">
        <v>0.3</v>
      </c>
      <c r="E41" s="87">
        <f t="shared" ref="E41:E43" si="5">C41-(C41*D41)</f>
        <v>11.55</v>
      </c>
      <c r="F41" s="114" t="s">
        <v>89</v>
      </c>
      <c r="G41" s="67">
        <f>ROUNDUP(E41/$B$7,0)</f>
        <v>3</v>
      </c>
      <c r="H41" s="67">
        <v>1</v>
      </c>
      <c r="I41" s="86">
        <v>16.5</v>
      </c>
      <c r="J41" s="84">
        <v>0</v>
      </c>
    </row>
    <row r="42" spans="1:10" ht="12" thickBot="1" x14ac:dyDescent="0.2">
      <c r="A42" s="66" t="s">
        <v>8</v>
      </c>
      <c r="B42" s="67">
        <v>9</v>
      </c>
      <c r="C42" s="87">
        <f t="shared" si="4"/>
        <v>4.95</v>
      </c>
      <c r="D42" s="80">
        <v>0</v>
      </c>
      <c r="E42" s="87">
        <f t="shared" si="5"/>
        <v>4.95</v>
      </c>
      <c r="F42" s="114" t="s">
        <v>89</v>
      </c>
      <c r="G42" s="67">
        <f t="shared" ref="G42:G43" si="6">ROUNDUP(E42/$B$7,0)</f>
        <v>1</v>
      </c>
      <c r="H42" s="67">
        <v>1</v>
      </c>
      <c r="I42" s="86">
        <v>5.5</v>
      </c>
      <c r="J42" s="84">
        <v>-0.54999999999999982</v>
      </c>
    </row>
    <row r="43" spans="1:10" ht="12" thickBot="1" x14ac:dyDescent="0.2">
      <c r="A43" s="66" t="s">
        <v>9</v>
      </c>
      <c r="B43" s="67">
        <v>151</v>
      </c>
      <c r="C43" s="87">
        <f t="shared" si="4"/>
        <v>83.050000000000011</v>
      </c>
      <c r="D43" s="80">
        <v>0.15</v>
      </c>
      <c r="E43" s="87">
        <f t="shared" si="5"/>
        <v>70.592500000000015</v>
      </c>
      <c r="F43" s="114" t="s">
        <v>89</v>
      </c>
      <c r="G43" s="67">
        <f t="shared" si="6"/>
        <v>13</v>
      </c>
      <c r="H43" s="67">
        <v>1</v>
      </c>
      <c r="I43" s="86">
        <v>71.5</v>
      </c>
      <c r="J43" s="84">
        <v>11.550000000000011</v>
      </c>
    </row>
    <row r="44" spans="1:10" ht="12" thickBot="1" x14ac:dyDescent="0.2">
      <c r="A44" s="70" t="s">
        <v>10</v>
      </c>
      <c r="B44" s="71">
        <f>SUM(B41:B43)</f>
        <v>190</v>
      </c>
      <c r="C44" s="93">
        <f>SUM(C41:C43)</f>
        <v>104.50000000000001</v>
      </c>
      <c r="D44" s="71"/>
      <c r="E44" s="93">
        <f t="shared" ref="E44:J44" si="7">SUM(E41:E43)</f>
        <v>87.092500000000015</v>
      </c>
      <c r="F44" s="93">
        <f t="shared" si="7"/>
        <v>0</v>
      </c>
      <c r="G44" s="85">
        <f t="shared" si="7"/>
        <v>17</v>
      </c>
      <c r="H44" s="85">
        <f t="shared" si="7"/>
        <v>3</v>
      </c>
      <c r="I44" s="93">
        <f>SUM(I41:I43)</f>
        <v>93.5</v>
      </c>
      <c r="J44" s="96">
        <f t="shared" si="7"/>
        <v>11.000000000000011</v>
      </c>
    </row>
    <row r="45" spans="1:10" ht="12" thickBot="1" x14ac:dyDescent="0.2">
      <c r="A45" s="66" t="s">
        <v>11</v>
      </c>
      <c r="B45" s="67">
        <v>145</v>
      </c>
      <c r="C45" s="87">
        <f t="shared" si="4"/>
        <v>79.75</v>
      </c>
      <c r="D45" s="81">
        <v>0.155</v>
      </c>
      <c r="E45" s="87">
        <f t="shared" ref="E45" si="8">C45-(C45*D45)</f>
        <v>67.388750000000002</v>
      </c>
      <c r="F45" s="114" t="s">
        <v>90</v>
      </c>
      <c r="G45" s="67">
        <v>0</v>
      </c>
      <c r="H45" s="67">
        <v>0</v>
      </c>
      <c r="I45" s="68">
        <v>0</v>
      </c>
      <c r="J45" s="67" t="s">
        <v>13</v>
      </c>
    </row>
    <row r="46" spans="1:10" x14ac:dyDescent="0.15">
      <c r="A46" s="82" t="s">
        <v>26</v>
      </c>
      <c r="B46" s="97">
        <f>B45+B44+B40</f>
        <v>460</v>
      </c>
      <c r="C46" s="63"/>
      <c r="D46" s="63"/>
      <c r="E46" s="63"/>
      <c r="F46" s="63"/>
      <c r="G46" s="63"/>
      <c r="H46" s="63"/>
      <c r="I46" s="63"/>
      <c r="J46" s="63"/>
    </row>
    <row r="47" spans="1:10" ht="12" thickBot="1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15" thickBot="1" x14ac:dyDescent="0.2">
      <c r="A48" s="192" t="s">
        <v>97</v>
      </c>
      <c r="B48" s="193"/>
      <c r="C48" s="193"/>
      <c r="D48" s="193"/>
      <c r="E48" s="194"/>
      <c r="F48" s="63"/>
      <c r="G48" s="63"/>
      <c r="H48" s="63"/>
      <c r="I48" s="63"/>
      <c r="J48" s="63"/>
    </row>
    <row r="49" spans="1:12" ht="11.25" customHeight="1" x14ac:dyDescent="0.15">
      <c r="A49" s="195" t="s">
        <v>53</v>
      </c>
      <c r="B49" s="73" t="s">
        <v>14</v>
      </c>
      <c r="C49" s="73"/>
      <c r="D49" s="73"/>
      <c r="E49" s="73" t="s">
        <v>15</v>
      </c>
      <c r="G49" s="63"/>
      <c r="H49" s="63"/>
      <c r="I49" s="63"/>
      <c r="J49" s="63"/>
    </row>
    <row r="50" spans="1:12" ht="23.25" thickBot="1" x14ac:dyDescent="0.2">
      <c r="A50" s="196"/>
      <c r="B50" s="71" t="s">
        <v>54</v>
      </c>
      <c r="C50" s="71"/>
      <c r="D50" s="71"/>
      <c r="E50" s="71" t="s">
        <v>57</v>
      </c>
      <c r="G50" s="63"/>
      <c r="H50" s="63"/>
      <c r="I50" s="63"/>
      <c r="J50" s="63"/>
    </row>
    <row r="51" spans="1:12" ht="45" x14ac:dyDescent="0.15">
      <c r="A51" s="197" t="s">
        <v>56</v>
      </c>
      <c r="B51" s="200" t="s">
        <v>55</v>
      </c>
      <c r="C51" s="116"/>
      <c r="D51" s="197"/>
      <c r="E51" s="130" t="s">
        <v>98</v>
      </c>
      <c r="G51" s="63"/>
      <c r="H51" s="63"/>
      <c r="I51" s="63"/>
      <c r="J51" s="63"/>
    </row>
    <row r="52" spans="1:12" x14ac:dyDescent="0.15">
      <c r="A52" s="198"/>
      <c r="B52" s="201"/>
      <c r="D52" s="198"/>
      <c r="E52" s="134"/>
      <c r="F52" s="139"/>
      <c r="G52" s="139"/>
      <c r="H52" s="139"/>
      <c r="I52" s="139"/>
      <c r="J52" s="139"/>
      <c r="K52" s="139"/>
      <c r="L52" s="139"/>
    </row>
    <row r="53" spans="1:12" ht="12" thickBot="1" x14ac:dyDescent="0.2">
      <c r="A53" s="199"/>
      <c r="B53" s="202"/>
      <c r="C53" s="69"/>
      <c r="D53" s="199"/>
      <c r="E53" s="132"/>
      <c r="F53" s="153"/>
      <c r="G53" s="153"/>
      <c r="H53" s="153"/>
      <c r="I53" s="139"/>
      <c r="J53" s="139"/>
      <c r="K53" s="139"/>
      <c r="L53" s="139"/>
    </row>
    <row r="54" spans="1:12" ht="12" thickBot="1" x14ac:dyDescent="0.2">
      <c r="A54" s="75" t="s">
        <v>25</v>
      </c>
      <c r="B54" s="76">
        <f>G40*$B$7/$B$6</f>
        <v>119.99999999999999</v>
      </c>
      <c r="C54" s="94"/>
      <c r="D54" s="137"/>
      <c r="E54" s="154">
        <v>0</v>
      </c>
      <c r="F54" s="139"/>
      <c r="G54" s="139"/>
      <c r="H54" s="139"/>
      <c r="I54" s="139"/>
      <c r="J54" s="139"/>
      <c r="K54" s="139"/>
      <c r="L54" s="139"/>
    </row>
    <row r="55" spans="1:12" ht="23.25" thickBot="1" x14ac:dyDescent="0.2">
      <c r="A55" s="27"/>
      <c r="B55" s="28"/>
      <c r="C55" s="29" t="s">
        <v>59</v>
      </c>
      <c r="D55" s="29" t="s">
        <v>22</v>
      </c>
      <c r="E55" s="32" t="s">
        <v>23</v>
      </c>
      <c r="F55" s="139"/>
      <c r="G55" s="139"/>
      <c r="H55" s="139"/>
      <c r="I55" s="139"/>
      <c r="J55" s="139"/>
      <c r="K55" s="139"/>
      <c r="L55" s="139"/>
    </row>
    <row r="56" spans="1:12" ht="12" thickBot="1" x14ac:dyDescent="0.2">
      <c r="A56" s="162" t="s">
        <v>58</v>
      </c>
      <c r="B56" s="163">
        <f>B54*$B$6/$B$7</f>
        <v>12</v>
      </c>
      <c r="C56" s="164">
        <f>INT(B56)</f>
        <v>12</v>
      </c>
      <c r="D56" s="166">
        <f>B56-C56</f>
        <v>0</v>
      </c>
      <c r="E56" s="165">
        <f>ROUNDDOWN(D56*$B$7/$B$6,2)</f>
        <v>0</v>
      </c>
      <c r="F56" s="139"/>
      <c r="G56" s="139"/>
      <c r="H56" s="139"/>
      <c r="I56" s="139"/>
      <c r="J56" s="139"/>
      <c r="K56" s="139"/>
      <c r="L56" s="139"/>
    </row>
    <row r="57" spans="1:12" x14ac:dyDescent="0.15">
      <c r="A57" s="72"/>
      <c r="B57" s="63"/>
      <c r="C57" s="63"/>
      <c r="D57" s="63"/>
      <c r="E57" s="155"/>
      <c r="F57" s="139"/>
      <c r="G57" s="139"/>
      <c r="H57" s="139"/>
      <c r="I57" s="139"/>
      <c r="J57" s="139"/>
      <c r="K57" s="139"/>
      <c r="L57" s="139"/>
    </row>
    <row r="58" spans="1:12" s="63" customFormat="1" ht="12" thickBot="1" x14ac:dyDescent="0.2">
      <c r="A58" s="75" t="s">
        <v>25</v>
      </c>
      <c r="B58" s="76">
        <f>G44*$B$7/$B$6</f>
        <v>170</v>
      </c>
      <c r="C58" s="94"/>
      <c r="D58" s="137"/>
      <c r="E58" s="156">
        <v>0</v>
      </c>
      <c r="F58" s="40"/>
      <c r="G58" s="139"/>
      <c r="H58" s="140"/>
      <c r="I58" s="140"/>
      <c r="J58" s="140"/>
      <c r="K58" s="139"/>
      <c r="L58" s="139"/>
    </row>
    <row r="59" spans="1:12" s="63" customFormat="1" ht="23.25" thickBot="1" x14ac:dyDescent="0.2">
      <c r="A59" s="27"/>
      <c r="B59" s="28"/>
      <c r="C59" s="29" t="s">
        <v>59</v>
      </c>
      <c r="D59" s="29" t="s">
        <v>22</v>
      </c>
      <c r="E59" s="32" t="s">
        <v>23</v>
      </c>
      <c r="F59" s="40"/>
      <c r="G59" s="139"/>
      <c r="H59" s="139"/>
      <c r="I59" s="139"/>
      <c r="J59" s="139"/>
      <c r="K59" s="139"/>
      <c r="L59" s="139"/>
    </row>
    <row r="60" spans="1:12" s="63" customFormat="1" ht="12" thickBot="1" x14ac:dyDescent="0.2">
      <c r="A60" s="162" t="s">
        <v>58</v>
      </c>
      <c r="B60" s="163">
        <f>B58*$B$6/$B$7</f>
        <v>17.000000000000004</v>
      </c>
      <c r="C60" s="164">
        <f>INT(B60)</f>
        <v>17</v>
      </c>
      <c r="D60" s="166">
        <f>B60-C60</f>
        <v>0</v>
      </c>
      <c r="E60" s="165">
        <f>ROUNDDOWN(D60*$B$7/$B$6,2)</f>
        <v>0</v>
      </c>
      <c r="F60" s="141"/>
      <c r="G60" s="139"/>
      <c r="H60" s="139"/>
      <c r="I60" s="139"/>
      <c r="J60" s="139"/>
      <c r="K60" s="139"/>
      <c r="L60" s="139"/>
    </row>
    <row r="61" spans="1:12" s="63" customFormat="1" x14ac:dyDescent="0.15">
      <c r="A61" s="123"/>
      <c r="B61" s="124"/>
      <c r="C61" s="124"/>
      <c r="D61" s="124"/>
      <c r="E61" s="125"/>
      <c r="F61" s="83"/>
    </row>
    <row r="62" spans="1:12" s="63" customFormat="1" ht="12" thickBot="1" x14ac:dyDescent="0.2">
      <c r="A62" s="126"/>
      <c r="B62" s="127"/>
      <c r="C62" s="127"/>
      <c r="D62" s="127"/>
      <c r="E62" s="128"/>
      <c r="F62" s="83"/>
    </row>
    <row r="63" spans="1:12" ht="23.25" thickBot="1" x14ac:dyDescent="0.2">
      <c r="A63" s="78" t="s">
        <v>60</v>
      </c>
      <c r="B63" s="79" t="s">
        <v>61</v>
      </c>
      <c r="C63" s="79" t="s">
        <v>42</v>
      </c>
      <c r="D63" s="79" t="s">
        <v>19</v>
      </c>
      <c r="E63" s="33" t="s">
        <v>24</v>
      </c>
      <c r="F63" s="79" t="s">
        <v>63</v>
      </c>
      <c r="G63" s="63"/>
      <c r="H63" s="63"/>
      <c r="I63" s="63"/>
      <c r="J63" s="63"/>
    </row>
    <row r="64" spans="1:12" ht="45.75" thickBot="1" x14ac:dyDescent="0.2">
      <c r="A64" s="109" t="s">
        <v>99</v>
      </c>
      <c r="B64" s="117" t="s">
        <v>65</v>
      </c>
      <c r="C64" s="117" t="s">
        <v>66</v>
      </c>
      <c r="D64" s="117" t="s">
        <v>67</v>
      </c>
      <c r="E64" s="118" t="s">
        <v>68</v>
      </c>
      <c r="F64" s="117" t="s">
        <v>100</v>
      </c>
      <c r="G64" s="63"/>
      <c r="H64" s="63"/>
      <c r="I64" s="63"/>
      <c r="J64" s="63"/>
    </row>
    <row r="65" spans="1:10" ht="12" thickBot="1" x14ac:dyDescent="0.2">
      <c r="A65" s="109" t="s">
        <v>71</v>
      </c>
      <c r="B65" s="91">
        <f>B46*$B$6</f>
        <v>253.00000000000003</v>
      </c>
      <c r="C65" s="91">
        <f>(G44+G40)*$B$7</f>
        <v>159.5</v>
      </c>
      <c r="D65" s="91">
        <f>(B46-(B54+B58))*$B$6</f>
        <v>93.500000000000014</v>
      </c>
      <c r="E65" s="92">
        <f>D56/$B$7*$B$6</f>
        <v>0</v>
      </c>
      <c r="F65" s="89">
        <f>B65-(C65+D65+E65)</f>
        <v>0</v>
      </c>
      <c r="G65" s="63"/>
      <c r="H65" s="63"/>
      <c r="I65" s="63"/>
      <c r="J65" s="63"/>
    </row>
    <row r="66" spans="1:10" x14ac:dyDescent="0.15">
      <c r="A66" s="63"/>
      <c r="B66" s="63"/>
      <c r="C66" s="63"/>
      <c r="D66" s="63"/>
      <c r="E66" s="63"/>
      <c r="F66" s="63"/>
      <c r="G66" s="63"/>
      <c r="H66" s="63"/>
      <c r="I66" s="63"/>
      <c r="J66" s="63"/>
    </row>
    <row r="67" spans="1:10" ht="12" thickBot="1" x14ac:dyDescent="0.2"/>
    <row r="68" spans="1:10" ht="11.25" customHeight="1" x14ac:dyDescent="0.15">
      <c r="A68" s="203"/>
      <c r="B68" s="195" t="s">
        <v>91</v>
      </c>
      <c r="C68" s="64" t="s">
        <v>61</v>
      </c>
      <c r="D68" s="195" t="s">
        <v>92</v>
      </c>
      <c r="E68" s="195" t="s">
        <v>93</v>
      </c>
      <c r="F68" s="195" t="s">
        <v>94</v>
      </c>
      <c r="G68" s="195" t="s">
        <v>95</v>
      </c>
      <c r="H68" s="195" t="s">
        <v>82</v>
      </c>
      <c r="I68" s="195" t="s">
        <v>96</v>
      </c>
      <c r="J68" s="64" t="s">
        <v>2</v>
      </c>
    </row>
    <row r="69" spans="1:10" ht="12" thickBot="1" x14ac:dyDescent="0.2">
      <c r="A69" s="199"/>
      <c r="B69" s="196"/>
      <c r="C69" s="65"/>
      <c r="D69" s="196"/>
      <c r="E69" s="196"/>
      <c r="F69" s="196"/>
      <c r="G69" s="196"/>
      <c r="H69" s="196"/>
      <c r="I69" s="196"/>
      <c r="J69" s="65" t="s">
        <v>3</v>
      </c>
    </row>
    <row r="70" spans="1:10" ht="12" thickBot="1" x14ac:dyDescent="0.2">
      <c r="A70" s="66" t="s">
        <v>4</v>
      </c>
      <c r="B70" s="67">
        <v>125</v>
      </c>
      <c r="C70" s="87">
        <f>B70*$B$6</f>
        <v>68.75</v>
      </c>
      <c r="D70" s="80">
        <v>0</v>
      </c>
      <c r="E70" s="87">
        <f>C70-(C70*D70)</f>
        <v>68.75</v>
      </c>
      <c r="F70" s="69" t="s">
        <v>5</v>
      </c>
      <c r="G70" s="67">
        <f>ROUNDDOWN(E70/$B$7,0)</f>
        <v>12</v>
      </c>
      <c r="H70" s="67">
        <v>0</v>
      </c>
      <c r="I70" s="86">
        <v>66</v>
      </c>
      <c r="J70" s="84">
        <v>2.75</v>
      </c>
    </row>
    <row r="71" spans="1:10" ht="12" thickBot="1" x14ac:dyDescent="0.2">
      <c r="A71" s="95" t="s">
        <v>28</v>
      </c>
      <c r="B71" s="85">
        <f>SUM(B70)</f>
        <v>125</v>
      </c>
      <c r="C71" s="93">
        <f t="shared" ref="C71" si="9">SUM(C70)</f>
        <v>68.75</v>
      </c>
      <c r="D71" s="93">
        <f t="shared" ref="D71" si="10">SUM(D70)</f>
        <v>0</v>
      </c>
      <c r="E71" s="93">
        <f t="shared" ref="E71" si="11">SUM(E70)</f>
        <v>68.75</v>
      </c>
      <c r="F71" s="93">
        <f t="shared" ref="F71" si="12">SUM(F70)</f>
        <v>0</v>
      </c>
      <c r="G71" s="85">
        <f t="shared" ref="G71" si="13">SUM(G70)</f>
        <v>12</v>
      </c>
      <c r="H71" s="85">
        <f t="shared" ref="H71" si="14">SUM(H70)</f>
        <v>0</v>
      </c>
      <c r="I71" s="93">
        <f t="shared" ref="I71" si="15">SUM(I70)</f>
        <v>66</v>
      </c>
      <c r="J71" s="93">
        <f t="shared" ref="J71" si="16">SUM(J70)</f>
        <v>2.75</v>
      </c>
    </row>
    <row r="72" spans="1:10" ht="12" thickBot="1" x14ac:dyDescent="0.2">
      <c r="A72" s="66" t="s">
        <v>6</v>
      </c>
      <c r="B72" s="67">
        <v>30</v>
      </c>
      <c r="C72" s="87">
        <f t="shared" ref="C72:C78" si="17">B72*$B$6</f>
        <v>16.5</v>
      </c>
      <c r="D72" s="80">
        <v>0.3</v>
      </c>
      <c r="E72" s="87">
        <f t="shared" ref="E72:E76" si="18">C72-(C72*D72)</f>
        <v>11.55</v>
      </c>
      <c r="F72" s="69" t="s">
        <v>7</v>
      </c>
      <c r="G72" s="67">
        <f>ROUNDUP(E72/$B$7,0)</f>
        <v>3</v>
      </c>
      <c r="H72" s="67">
        <v>1</v>
      </c>
      <c r="I72" s="86">
        <v>16.5</v>
      </c>
      <c r="J72" s="84">
        <v>0</v>
      </c>
    </row>
    <row r="73" spans="1:10" s="63" customFormat="1" ht="12" thickBot="1" x14ac:dyDescent="0.2">
      <c r="A73" s="66"/>
      <c r="B73" s="85">
        <f>SUM(B72)</f>
        <v>30</v>
      </c>
      <c r="C73" s="93">
        <f t="shared" ref="C73" si="19">SUM(C72)</f>
        <v>16.5</v>
      </c>
      <c r="D73" s="93">
        <f t="shared" ref="D73" si="20">SUM(D72)</f>
        <v>0.3</v>
      </c>
      <c r="E73" s="93">
        <f t="shared" ref="E73" si="21">SUM(E72)</f>
        <v>11.55</v>
      </c>
      <c r="F73" s="93">
        <f t="shared" ref="F73" si="22">SUM(F72)</f>
        <v>0</v>
      </c>
      <c r="G73" s="85">
        <f t="shared" ref="G73" si="23">SUM(G72)</f>
        <v>3</v>
      </c>
      <c r="H73" s="85">
        <f t="shared" ref="H73" si="24">SUM(H72)</f>
        <v>1</v>
      </c>
      <c r="I73" s="93">
        <f t="shared" ref="I73" si="25">SUM(I72)</f>
        <v>16.5</v>
      </c>
      <c r="J73" s="93">
        <f t="shared" ref="J73" si="26">SUM(J72)</f>
        <v>0</v>
      </c>
    </row>
    <row r="74" spans="1:10" ht="12" thickBot="1" x14ac:dyDescent="0.2">
      <c r="A74" s="66" t="s">
        <v>8</v>
      </c>
      <c r="B74" s="67">
        <v>9</v>
      </c>
      <c r="C74" s="87">
        <f t="shared" si="17"/>
        <v>4.95</v>
      </c>
      <c r="D74" s="80">
        <v>0</v>
      </c>
      <c r="E74" s="87">
        <f t="shared" si="18"/>
        <v>4.95</v>
      </c>
      <c r="F74" s="69" t="s">
        <v>7</v>
      </c>
      <c r="G74" s="67">
        <f t="shared" ref="G74:G76" si="27">ROUNDUP(E74/$B$7,0)</f>
        <v>1</v>
      </c>
      <c r="H74" s="67">
        <v>1</v>
      </c>
      <c r="I74" s="86">
        <v>5.5</v>
      </c>
      <c r="J74" s="84">
        <v>-0.54999999999999982</v>
      </c>
    </row>
    <row r="75" spans="1:10" s="63" customFormat="1" ht="12" thickBot="1" x14ac:dyDescent="0.2">
      <c r="A75" s="66"/>
      <c r="B75" s="85">
        <f>SUM(B74)</f>
        <v>9</v>
      </c>
      <c r="C75" s="93">
        <f t="shared" ref="C75" si="28">SUM(C74)</f>
        <v>4.95</v>
      </c>
      <c r="D75" s="93">
        <f t="shared" ref="D75" si="29">SUM(D74)</f>
        <v>0</v>
      </c>
      <c r="E75" s="93">
        <f t="shared" ref="E75" si="30">SUM(E74)</f>
        <v>4.95</v>
      </c>
      <c r="F75" s="93">
        <f t="shared" ref="F75" si="31">SUM(F74)</f>
        <v>0</v>
      </c>
      <c r="G75" s="85">
        <f t="shared" ref="G75" si="32">SUM(G74)</f>
        <v>1</v>
      </c>
      <c r="H75" s="85">
        <f t="shared" ref="H75" si="33">SUM(H74)</f>
        <v>1</v>
      </c>
      <c r="I75" s="93">
        <f t="shared" ref="I75" si="34">SUM(I74)</f>
        <v>5.5</v>
      </c>
      <c r="J75" s="93">
        <f t="shared" ref="J75" si="35">SUM(J74)</f>
        <v>-0.54999999999999982</v>
      </c>
    </row>
    <row r="76" spans="1:10" ht="12" thickBot="1" x14ac:dyDescent="0.2">
      <c r="A76" s="66" t="s">
        <v>9</v>
      </c>
      <c r="B76" s="67">
        <v>151</v>
      </c>
      <c r="C76" s="87">
        <f t="shared" si="17"/>
        <v>83.050000000000011</v>
      </c>
      <c r="D76" s="80">
        <v>0.15</v>
      </c>
      <c r="E76" s="87">
        <f t="shared" si="18"/>
        <v>70.592500000000015</v>
      </c>
      <c r="F76" s="69" t="s">
        <v>7</v>
      </c>
      <c r="G76" s="67">
        <f t="shared" si="27"/>
        <v>13</v>
      </c>
      <c r="H76" s="67">
        <v>1</v>
      </c>
      <c r="I76" s="86">
        <v>71.5</v>
      </c>
      <c r="J76" s="84">
        <v>11.550000000000011</v>
      </c>
    </row>
    <row r="77" spans="1:10" ht="12" thickBot="1" x14ac:dyDescent="0.2">
      <c r="A77" s="70" t="s">
        <v>10</v>
      </c>
      <c r="B77" s="85">
        <f>SUM(B76)</f>
        <v>151</v>
      </c>
      <c r="C77" s="93">
        <f t="shared" ref="C77" si="36">SUM(C76)</f>
        <v>83.050000000000011</v>
      </c>
      <c r="D77" s="93">
        <f t="shared" ref="D77" si="37">SUM(D76)</f>
        <v>0.15</v>
      </c>
      <c r="E77" s="93">
        <f t="shared" ref="E77" si="38">SUM(E76)</f>
        <v>70.592500000000015</v>
      </c>
      <c r="F77" s="93">
        <f t="shared" ref="F77" si="39">SUM(F76)</f>
        <v>0</v>
      </c>
      <c r="G77" s="85">
        <f t="shared" ref="G77" si="40">SUM(G76)</f>
        <v>13</v>
      </c>
      <c r="H77" s="85">
        <f t="shared" ref="H77" si="41">SUM(H76)</f>
        <v>1</v>
      </c>
      <c r="I77" s="93">
        <f t="shared" ref="I77" si="42">SUM(I76)</f>
        <v>71.5</v>
      </c>
      <c r="J77" s="93">
        <f t="shared" ref="J77" si="43">SUM(J76)</f>
        <v>11.550000000000011</v>
      </c>
    </row>
    <row r="78" spans="1:10" ht="12" thickBot="1" x14ac:dyDescent="0.2">
      <c r="A78" s="66" t="s">
        <v>11</v>
      </c>
      <c r="B78" s="67">
        <v>145</v>
      </c>
      <c r="C78" s="87">
        <f t="shared" si="17"/>
        <v>79.75</v>
      </c>
      <c r="D78" s="81">
        <v>0.155</v>
      </c>
      <c r="E78" s="87">
        <f t="shared" ref="E78" si="44">C78-(C78*D78)</f>
        <v>67.388750000000002</v>
      </c>
      <c r="F78" s="69" t="s">
        <v>12</v>
      </c>
      <c r="G78" s="67">
        <v>0</v>
      </c>
      <c r="H78" s="67">
        <v>0</v>
      </c>
      <c r="I78" s="68">
        <v>0</v>
      </c>
      <c r="J78" s="67" t="s">
        <v>13</v>
      </c>
    </row>
    <row r="79" spans="1:10" x14ac:dyDescent="0.15">
      <c r="A79" s="82" t="s">
        <v>26</v>
      </c>
      <c r="B79" s="97">
        <f>B77+B75+B73+B71+B78</f>
        <v>460</v>
      </c>
      <c r="C79" s="63"/>
      <c r="D79" s="63"/>
      <c r="E79" s="63"/>
      <c r="F79" s="63"/>
      <c r="G79" s="63"/>
      <c r="H79" s="63"/>
      <c r="I79" s="63"/>
      <c r="J79" s="63"/>
    </row>
    <row r="80" spans="1:10" ht="12" thickBot="1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ht="15" thickBot="1" x14ac:dyDescent="0.2">
      <c r="A81" s="192" t="s">
        <v>74</v>
      </c>
      <c r="B81" s="193"/>
      <c r="C81" s="193"/>
      <c r="D81" s="193"/>
      <c r="E81" s="194"/>
      <c r="F81" s="63"/>
      <c r="G81" s="63"/>
      <c r="H81" s="63"/>
      <c r="I81" s="63"/>
      <c r="J81" s="63"/>
    </row>
    <row r="82" spans="1:10" ht="11.25" customHeight="1" x14ac:dyDescent="0.15">
      <c r="A82" s="195" t="s">
        <v>53</v>
      </c>
      <c r="B82" s="73" t="s">
        <v>14</v>
      </c>
      <c r="C82" s="73"/>
      <c r="D82" s="73"/>
      <c r="E82" s="73" t="s">
        <v>15</v>
      </c>
      <c r="G82" s="63"/>
      <c r="H82" s="63"/>
      <c r="I82" s="63"/>
      <c r="J82" s="63"/>
    </row>
    <row r="83" spans="1:10" ht="23.25" thickBot="1" x14ac:dyDescent="0.2">
      <c r="A83" s="196"/>
      <c r="B83" s="71" t="s">
        <v>54</v>
      </c>
      <c r="C83" s="71"/>
      <c r="D83" s="71"/>
      <c r="E83" s="71" t="s">
        <v>57</v>
      </c>
      <c r="G83" s="63"/>
      <c r="H83" s="63"/>
      <c r="I83" s="63"/>
      <c r="J83" s="63"/>
    </row>
    <row r="84" spans="1:10" ht="45" x14ac:dyDescent="0.15">
      <c r="A84" s="197" t="s">
        <v>56</v>
      </c>
      <c r="B84" s="200" t="s">
        <v>55</v>
      </c>
      <c r="C84" s="63"/>
      <c r="D84" s="197"/>
      <c r="E84" s="116" t="s">
        <v>98</v>
      </c>
      <c r="G84" s="63"/>
      <c r="H84" s="63"/>
      <c r="I84" s="63"/>
      <c r="J84" s="63"/>
    </row>
    <row r="85" spans="1:10" x14ac:dyDescent="0.15">
      <c r="A85" s="198"/>
      <c r="B85" s="201"/>
      <c r="C85" s="116"/>
      <c r="D85" s="198"/>
      <c r="E85" s="88"/>
      <c r="G85" s="63"/>
      <c r="H85" s="63"/>
      <c r="I85" s="63"/>
      <c r="J85" s="63"/>
    </row>
    <row r="86" spans="1:10" ht="12" thickBot="1" x14ac:dyDescent="0.2">
      <c r="A86" s="199"/>
      <c r="B86" s="202"/>
      <c r="C86" s="69"/>
      <c r="D86" s="199"/>
      <c r="E86" s="69"/>
      <c r="G86" s="63"/>
      <c r="H86" s="63"/>
      <c r="I86" s="63"/>
      <c r="J86" s="63"/>
    </row>
    <row r="87" spans="1:10" ht="12" thickBot="1" x14ac:dyDescent="0.2">
      <c r="A87" s="75" t="s">
        <v>25</v>
      </c>
      <c r="B87" s="76">
        <f>G71*$B$7/$B$6</f>
        <v>119.99999999999999</v>
      </c>
      <c r="C87" s="94"/>
      <c r="D87" s="90"/>
      <c r="E87" s="76">
        <v>0</v>
      </c>
      <c r="G87" s="63"/>
      <c r="H87" s="63"/>
      <c r="I87" s="63"/>
      <c r="J87" s="63"/>
    </row>
    <row r="88" spans="1:10" ht="23.25" thickBot="1" x14ac:dyDescent="0.2">
      <c r="A88" s="27"/>
      <c r="B88" s="28"/>
      <c r="C88" s="29" t="s">
        <v>59</v>
      </c>
      <c r="D88" s="30" t="s">
        <v>22</v>
      </c>
      <c r="E88" s="32" t="s">
        <v>23</v>
      </c>
      <c r="F88" s="63"/>
      <c r="G88" s="63"/>
      <c r="H88" s="63"/>
      <c r="I88" s="63"/>
      <c r="J88" s="63"/>
    </row>
    <row r="89" spans="1:10" ht="12" thickBot="1" x14ac:dyDescent="0.2">
      <c r="A89" s="162" t="s">
        <v>58</v>
      </c>
      <c r="B89" s="163">
        <f>B87*$B$6/$B$7</f>
        <v>12</v>
      </c>
      <c r="C89" s="164">
        <f>INT(B89)</f>
        <v>12</v>
      </c>
      <c r="D89" s="163">
        <f>B89-C89</f>
        <v>0</v>
      </c>
      <c r="E89" s="165">
        <f>ROUNDDOWN(D89*$B$7/$B$6,2)</f>
        <v>0</v>
      </c>
      <c r="F89" s="63"/>
      <c r="G89" s="63"/>
      <c r="H89" s="63"/>
      <c r="I89" s="63"/>
      <c r="J89" s="63"/>
    </row>
    <row r="90" spans="1:10" x14ac:dyDescent="0.15">
      <c r="A90" s="72"/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12" thickBot="1" x14ac:dyDescent="0.2">
      <c r="A91" s="75" t="s">
        <v>16</v>
      </c>
      <c r="B91" s="76">
        <f>G73*$B$7/$B$6</f>
        <v>29.999999999999996</v>
      </c>
      <c r="C91" s="94"/>
      <c r="D91" s="90"/>
      <c r="E91" s="90">
        <v>0</v>
      </c>
      <c r="F91" s="83"/>
      <c r="G91" s="63"/>
      <c r="H91" s="63"/>
      <c r="I91" s="63"/>
      <c r="J91" s="63"/>
    </row>
    <row r="92" spans="1:10" ht="23.25" thickBot="1" x14ac:dyDescent="0.2">
      <c r="A92" s="27"/>
      <c r="B92" s="28"/>
      <c r="C92" s="29" t="s">
        <v>59</v>
      </c>
      <c r="D92" s="30" t="s">
        <v>22</v>
      </c>
      <c r="E92" s="32" t="s">
        <v>23</v>
      </c>
      <c r="F92" s="83"/>
      <c r="G92" s="63"/>
      <c r="H92" s="63"/>
      <c r="I92" s="63"/>
      <c r="J92" s="63"/>
    </row>
    <row r="93" spans="1:10" ht="12" thickBot="1" x14ac:dyDescent="0.2">
      <c r="A93" s="162" t="s">
        <v>58</v>
      </c>
      <c r="B93" s="163">
        <f>B91*$B$6/$B$7</f>
        <v>3</v>
      </c>
      <c r="C93" s="164">
        <f>INT(B93)</f>
        <v>3</v>
      </c>
      <c r="D93" s="163">
        <f>B93-C93</f>
        <v>0</v>
      </c>
      <c r="E93" s="165">
        <f>ROUNDDOWN(D93*$B$7/$B$6,2)</f>
        <v>0</v>
      </c>
      <c r="F93" s="83"/>
      <c r="G93" s="63"/>
      <c r="H93" s="63"/>
      <c r="I93" s="63"/>
      <c r="J93" s="63"/>
    </row>
    <row r="94" spans="1:10" x14ac:dyDescent="0.15">
      <c r="A94" s="72"/>
      <c r="B94" s="63"/>
      <c r="C94" s="63"/>
      <c r="D94" s="63"/>
      <c r="E94" s="63"/>
      <c r="F94" s="83"/>
      <c r="G94" s="63"/>
      <c r="H94" s="63"/>
      <c r="I94" s="63"/>
      <c r="J94" s="63"/>
    </row>
    <row r="95" spans="1:10" ht="12" thickBot="1" x14ac:dyDescent="0.2">
      <c r="A95" s="75" t="s">
        <v>16</v>
      </c>
      <c r="B95" s="76">
        <f>G75*$B$7/$B$6</f>
        <v>10</v>
      </c>
      <c r="C95" s="94"/>
      <c r="D95" s="90"/>
      <c r="E95" s="94">
        <v>0</v>
      </c>
      <c r="F95" s="83"/>
      <c r="G95" s="63"/>
      <c r="H95" s="63"/>
      <c r="I95" s="63"/>
      <c r="J95" s="63"/>
    </row>
    <row r="96" spans="1:10" s="63" customFormat="1" ht="23.25" thickBot="1" x14ac:dyDescent="0.2">
      <c r="A96" s="27"/>
      <c r="B96" s="28"/>
      <c r="C96" s="29" t="s">
        <v>59</v>
      </c>
      <c r="D96" s="30" t="s">
        <v>22</v>
      </c>
      <c r="E96" s="32" t="s">
        <v>23</v>
      </c>
      <c r="F96" s="83"/>
    </row>
    <row r="97" spans="1:10" s="63" customFormat="1" ht="12" thickBot="1" x14ac:dyDescent="0.2">
      <c r="A97" s="162" t="s">
        <v>58</v>
      </c>
      <c r="B97" s="163">
        <f>B95*$B$6/$B$7</f>
        <v>1</v>
      </c>
      <c r="C97" s="164">
        <f>INT(B97)</f>
        <v>1</v>
      </c>
      <c r="D97" s="163">
        <f>B97-C97</f>
        <v>0</v>
      </c>
      <c r="E97" s="165">
        <f>ROUNDDOWN(D97*$B$7/$B$6,2)</f>
        <v>0</v>
      </c>
      <c r="F97" s="83"/>
    </row>
    <row r="98" spans="1:10" s="63" customFormat="1" x14ac:dyDescent="0.15">
      <c r="A98" s="72"/>
      <c r="F98" s="83"/>
    </row>
    <row r="99" spans="1:10" s="63" customFormat="1" ht="12" thickBot="1" x14ac:dyDescent="0.2">
      <c r="A99" s="75" t="s">
        <v>25</v>
      </c>
      <c r="B99" s="76">
        <f>G77*$B$7/$B$6</f>
        <v>130</v>
      </c>
      <c r="C99" s="94"/>
      <c r="D99" s="90"/>
      <c r="E99" s="90">
        <f>J85</f>
        <v>0</v>
      </c>
      <c r="F99" s="83"/>
    </row>
    <row r="100" spans="1:10" s="63" customFormat="1" ht="23.25" thickBot="1" x14ac:dyDescent="0.2">
      <c r="A100" s="27"/>
      <c r="B100" s="28"/>
      <c r="C100" s="29" t="s">
        <v>59</v>
      </c>
      <c r="D100" s="30" t="s">
        <v>22</v>
      </c>
      <c r="E100" s="32" t="s">
        <v>23</v>
      </c>
      <c r="F100" s="83"/>
    </row>
    <row r="101" spans="1:10" s="63" customFormat="1" ht="12" thickBot="1" x14ac:dyDescent="0.2">
      <c r="A101" s="162" t="s">
        <v>58</v>
      </c>
      <c r="B101" s="163">
        <f>B99*$B$6/$B$7</f>
        <v>13</v>
      </c>
      <c r="C101" s="164">
        <f>INT(B101)</f>
        <v>13</v>
      </c>
      <c r="D101" s="163">
        <f>B101-C101</f>
        <v>0</v>
      </c>
      <c r="E101" s="165">
        <f>ROUNDDOWN(D101*$B$7/$B$6,2)</f>
        <v>0</v>
      </c>
      <c r="F101" s="83"/>
    </row>
    <row r="102" spans="1:10" s="63" customFormat="1" x14ac:dyDescent="0.15">
      <c r="A102" s="72"/>
      <c r="F102" s="83"/>
    </row>
    <row r="103" spans="1:10" s="63" customFormat="1" ht="12" thickBot="1" x14ac:dyDescent="0.2">
      <c r="A103" s="72"/>
      <c r="F103" s="83"/>
    </row>
    <row r="104" spans="1:10" ht="23.25" thickBot="1" x14ac:dyDescent="0.2">
      <c r="A104" s="78" t="s">
        <v>60</v>
      </c>
      <c r="B104" s="79" t="s">
        <v>61</v>
      </c>
      <c r="C104" s="79" t="s">
        <v>42</v>
      </c>
      <c r="D104" s="79" t="s">
        <v>19</v>
      </c>
      <c r="E104" s="33" t="s">
        <v>24</v>
      </c>
      <c r="F104" s="79" t="s">
        <v>63</v>
      </c>
      <c r="G104" s="63"/>
      <c r="H104" s="63"/>
      <c r="I104" s="63"/>
      <c r="J104" s="63"/>
    </row>
    <row r="105" spans="1:10" ht="45.75" thickBot="1" x14ac:dyDescent="0.2">
      <c r="A105" s="109" t="s">
        <v>99</v>
      </c>
      <c r="B105" s="117" t="s">
        <v>65</v>
      </c>
      <c r="C105" s="117" t="s">
        <v>66</v>
      </c>
      <c r="D105" s="117" t="s">
        <v>67</v>
      </c>
      <c r="E105" s="118" t="s">
        <v>68</v>
      </c>
      <c r="F105" s="117" t="s">
        <v>100</v>
      </c>
      <c r="G105" s="63"/>
      <c r="H105" s="63"/>
      <c r="I105" s="63"/>
      <c r="J105" s="63"/>
    </row>
    <row r="106" spans="1:10" ht="12" thickBot="1" x14ac:dyDescent="0.2">
      <c r="A106" s="109" t="s">
        <v>70</v>
      </c>
      <c r="B106" s="91">
        <f>B79*$B$6</f>
        <v>253.00000000000003</v>
      </c>
      <c r="C106" s="91">
        <f>(G77+G75+G73+G71)*$B$7</f>
        <v>159.5</v>
      </c>
      <c r="D106" s="91">
        <f>(B79-(B87+B91+B95+B99))*$B$6</f>
        <v>93.500000000000014</v>
      </c>
      <c r="E106" s="92">
        <f>D89/$B$7*$B$6</f>
        <v>0</v>
      </c>
      <c r="F106" s="89">
        <f>B106-(C106+D106+E106)</f>
        <v>0</v>
      </c>
      <c r="G106" s="63"/>
      <c r="H106" s="63"/>
      <c r="I106" s="63"/>
      <c r="J106" s="63"/>
    </row>
  </sheetData>
  <mergeCells count="40">
    <mergeCell ref="D51:D53"/>
    <mergeCell ref="D25:D27"/>
    <mergeCell ref="J12:J13"/>
    <mergeCell ref="D84:D86"/>
    <mergeCell ref="A84:A86"/>
    <mergeCell ref="B84:B86"/>
    <mergeCell ref="A23:A24"/>
    <mergeCell ref="A25:A27"/>
    <mergeCell ref="B25:B27"/>
    <mergeCell ref="A51:A53"/>
    <mergeCell ref="B51:B53"/>
    <mergeCell ref="F12:F13"/>
    <mergeCell ref="G12:G13"/>
    <mergeCell ref="H12:H13"/>
    <mergeCell ref="I12:I13"/>
    <mergeCell ref="A22:E22"/>
    <mergeCell ref="A12:A13"/>
    <mergeCell ref="B12:B13"/>
    <mergeCell ref="D12:D13"/>
    <mergeCell ref="E12:E13"/>
    <mergeCell ref="G37:G38"/>
    <mergeCell ref="H37:H38"/>
    <mergeCell ref="I37:I38"/>
    <mergeCell ref="F37:F38"/>
    <mergeCell ref="A48:E48"/>
    <mergeCell ref="A49:A50"/>
    <mergeCell ref="A37:A38"/>
    <mergeCell ref="B37:B38"/>
    <mergeCell ref="D37:D38"/>
    <mergeCell ref="E37:E38"/>
    <mergeCell ref="G68:G69"/>
    <mergeCell ref="H68:H69"/>
    <mergeCell ref="I68:I69"/>
    <mergeCell ref="A81:E81"/>
    <mergeCell ref="A82:A83"/>
    <mergeCell ref="A68:A69"/>
    <mergeCell ref="B68:B69"/>
    <mergeCell ref="D68:D69"/>
    <mergeCell ref="E68:E69"/>
    <mergeCell ref="F68:F69"/>
  </mergeCells>
  <pageMargins left="0.7" right="0.7" top="0.75" bottom="0.75" header="0.3" footer="0.3"/>
  <pageSetup paperSize="9" orientation="portrait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23" workbookViewId="0">
      <selection activeCell="G29" sqref="G29"/>
    </sheetView>
  </sheetViews>
  <sheetFormatPr defaultColWidth="11" defaultRowHeight="11.25" x14ac:dyDescent="0.15"/>
  <cols>
    <col min="1" max="1" width="18.625" customWidth="1"/>
    <col min="2" max="2" width="19.875" customWidth="1"/>
    <col min="3" max="3" width="19.125" customWidth="1"/>
    <col min="4" max="4" width="21.75" customWidth="1"/>
    <col min="5" max="5" width="23.25" customWidth="1"/>
    <col min="6" max="6" width="13.75" customWidth="1"/>
  </cols>
  <sheetData>
    <row r="1" spans="1:11" ht="18" x14ac:dyDescent="0.25">
      <c r="A1" s="110" t="s">
        <v>101</v>
      </c>
      <c r="B1" s="110" t="s">
        <v>102</v>
      </c>
    </row>
    <row r="2" spans="1:11" x14ac:dyDescent="0.15">
      <c r="A2" s="72"/>
      <c r="B2" s="63"/>
      <c r="C2" s="63"/>
      <c r="D2" s="63"/>
      <c r="E2" s="63"/>
      <c r="F2" s="63"/>
    </row>
    <row r="3" spans="1:11" ht="12" thickBot="1" x14ac:dyDescent="0.2">
      <c r="A3" s="72"/>
      <c r="B3" s="63"/>
      <c r="C3" s="63"/>
      <c r="D3" s="63"/>
      <c r="E3" s="63"/>
      <c r="F3" s="63"/>
    </row>
    <row r="4" spans="1:11" ht="12" thickBot="1" x14ac:dyDescent="0.2">
      <c r="A4" s="2" t="s">
        <v>0</v>
      </c>
      <c r="B4" s="3">
        <v>10</v>
      </c>
      <c r="C4" s="3" t="s">
        <v>34</v>
      </c>
      <c r="D4" s="3">
        <v>1</v>
      </c>
      <c r="E4" s="4" t="s">
        <v>35</v>
      </c>
      <c r="F4" s="63"/>
    </row>
    <row r="5" spans="1:11" x14ac:dyDescent="0.15">
      <c r="A5" s="72"/>
      <c r="B5" s="63"/>
      <c r="C5" s="63"/>
      <c r="D5" s="63"/>
      <c r="E5" s="63"/>
      <c r="F5" s="63"/>
    </row>
    <row r="6" spans="1:11" x14ac:dyDescent="0.15">
      <c r="A6" s="111" t="s">
        <v>36</v>
      </c>
      <c r="B6" s="63">
        <v>0.55000000000000004</v>
      </c>
      <c r="C6" s="63" t="s">
        <v>1</v>
      </c>
      <c r="D6" s="63"/>
      <c r="E6" s="63"/>
      <c r="F6" s="63"/>
    </row>
    <row r="7" spans="1:11" x14ac:dyDescent="0.15">
      <c r="A7" s="111" t="s">
        <v>37</v>
      </c>
      <c r="B7" s="63">
        <v>5.5</v>
      </c>
      <c r="C7" s="63" t="s">
        <v>1</v>
      </c>
      <c r="D7" s="63"/>
      <c r="E7" s="63"/>
      <c r="F7" s="63"/>
    </row>
    <row r="8" spans="1:11" ht="11.25" customHeight="1" x14ac:dyDescent="0.15">
      <c r="A8" s="72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x14ac:dyDescent="0.15">
      <c r="A9" s="5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x14ac:dyDescent="0.15">
      <c r="A10" s="72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2" thickBot="1" x14ac:dyDescent="0.2">
      <c r="A11" s="72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1.25" customHeight="1" x14ac:dyDescent="0.15">
      <c r="A12" s="203"/>
      <c r="B12" s="195" t="s">
        <v>45</v>
      </c>
      <c r="C12" s="64" t="s">
        <v>40</v>
      </c>
      <c r="D12" s="195" t="s">
        <v>79</v>
      </c>
      <c r="E12" s="195" t="s">
        <v>42</v>
      </c>
      <c r="F12" s="195" t="s">
        <v>43</v>
      </c>
      <c r="G12" s="190" t="s">
        <v>81</v>
      </c>
      <c r="H12" s="195" t="s">
        <v>82</v>
      </c>
      <c r="I12" s="204" t="s">
        <v>46</v>
      </c>
      <c r="J12" s="190" t="s">
        <v>80</v>
      </c>
      <c r="K12" s="63"/>
    </row>
    <row r="13" spans="1:11" ht="12" thickBot="1" x14ac:dyDescent="0.2">
      <c r="A13" s="199"/>
      <c r="B13" s="196"/>
      <c r="C13" s="65" t="s">
        <v>41</v>
      </c>
      <c r="D13" s="196"/>
      <c r="E13" s="196"/>
      <c r="F13" s="196"/>
      <c r="G13" s="191"/>
      <c r="H13" s="196"/>
      <c r="I13" s="205"/>
      <c r="J13" s="191" t="s">
        <v>3</v>
      </c>
      <c r="K13" s="63"/>
    </row>
    <row r="14" spans="1:11" ht="12" thickBot="1" x14ac:dyDescent="0.2">
      <c r="A14" s="66" t="s">
        <v>29</v>
      </c>
      <c r="B14" s="67">
        <v>125</v>
      </c>
      <c r="C14" s="87">
        <f>B14*$B$6</f>
        <v>68.75</v>
      </c>
      <c r="D14" s="80">
        <v>0.15</v>
      </c>
      <c r="E14" s="87">
        <f>C14-(C14*D14)</f>
        <v>58.4375</v>
      </c>
      <c r="F14" s="114" t="s">
        <v>84</v>
      </c>
      <c r="G14" s="67">
        <f>ROUNDUP(E14/$B$7,0)</f>
        <v>11</v>
      </c>
      <c r="H14" s="67">
        <v>1</v>
      </c>
      <c r="I14" s="102">
        <f>G14*$B$7</f>
        <v>60.5</v>
      </c>
      <c r="J14" s="84">
        <f>C14-I14</f>
        <v>8.25</v>
      </c>
      <c r="K14" s="63"/>
    </row>
    <row r="15" spans="1:11" ht="12" thickBot="1" x14ac:dyDescent="0.2">
      <c r="A15" s="70" t="s">
        <v>10</v>
      </c>
      <c r="B15" s="71">
        <f>SUM(B14)</f>
        <v>125</v>
      </c>
      <c r="C15" s="71">
        <f t="shared" ref="C15:E15" si="0">SUM(C14)</f>
        <v>68.75</v>
      </c>
      <c r="D15" s="71"/>
      <c r="E15" s="59">
        <f t="shared" si="0"/>
        <v>58.4375</v>
      </c>
      <c r="F15" s="65" t="s">
        <v>83</v>
      </c>
      <c r="G15" s="71">
        <f>SUM(G14)</f>
        <v>11</v>
      </c>
      <c r="H15" s="71">
        <f t="shared" ref="H15:J15" si="1">SUM(H14)</f>
        <v>1</v>
      </c>
      <c r="I15" s="59">
        <f t="shared" si="1"/>
        <v>60.5</v>
      </c>
      <c r="J15" s="103">
        <f t="shared" si="1"/>
        <v>8.25</v>
      </c>
      <c r="K15" s="63"/>
    </row>
    <row r="16" spans="1:11" x14ac:dyDescent="0.15">
      <c r="A16" s="82" t="s">
        <v>26</v>
      </c>
      <c r="B16" s="60">
        <f>B15</f>
        <v>125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" thickBot="1" x14ac:dyDescent="0.2">
      <c r="A17" s="7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1.25" customHeight="1" x14ac:dyDescent="0.15">
      <c r="A18" s="195" t="s">
        <v>53</v>
      </c>
      <c r="B18" s="73" t="s">
        <v>14</v>
      </c>
      <c r="C18" s="73"/>
      <c r="D18" s="73"/>
      <c r="E18" s="73" t="s">
        <v>15</v>
      </c>
      <c r="G18" s="63"/>
      <c r="H18" s="63"/>
      <c r="I18" s="63"/>
      <c r="J18" s="63"/>
      <c r="K18" s="63"/>
    </row>
    <row r="19" spans="1:11" ht="34.5" customHeight="1" thickBot="1" x14ac:dyDescent="0.2">
      <c r="A19" s="196"/>
      <c r="B19" s="71" t="s">
        <v>54</v>
      </c>
      <c r="C19" s="71"/>
      <c r="D19" s="71"/>
      <c r="E19" s="71" t="s">
        <v>57</v>
      </c>
      <c r="G19" s="63"/>
      <c r="H19" s="63"/>
      <c r="I19" s="63"/>
      <c r="J19" s="63"/>
      <c r="K19" s="63"/>
    </row>
    <row r="20" spans="1:11" ht="45" x14ac:dyDescent="0.15">
      <c r="A20" s="197" t="s">
        <v>56</v>
      </c>
      <c r="B20" s="200" t="s">
        <v>55</v>
      </c>
      <c r="C20" s="116"/>
      <c r="D20" s="197"/>
      <c r="E20" s="116" t="s">
        <v>98</v>
      </c>
      <c r="G20" s="63"/>
      <c r="H20" s="63"/>
      <c r="I20" s="63"/>
      <c r="J20" s="63"/>
      <c r="K20" s="63"/>
    </row>
    <row r="21" spans="1:11" ht="11.25" hidden="1" customHeight="1" x14ac:dyDescent="0.15">
      <c r="A21" s="198"/>
      <c r="B21" s="201"/>
      <c r="C21" s="116"/>
      <c r="D21" s="198"/>
      <c r="E21" s="35" t="s">
        <v>30</v>
      </c>
      <c r="G21" s="63"/>
      <c r="H21" s="63"/>
      <c r="I21" s="63"/>
      <c r="J21" s="63"/>
      <c r="K21" s="63"/>
    </row>
    <row r="22" spans="1:11" ht="12" hidden="1" customHeight="1" thickBot="1" x14ac:dyDescent="0.2">
      <c r="A22" s="199"/>
      <c r="B22" s="202"/>
      <c r="C22" s="69"/>
      <c r="D22" s="199"/>
      <c r="E22" s="69"/>
      <c r="G22" s="63"/>
      <c r="H22" s="63"/>
      <c r="I22" s="63"/>
      <c r="J22" s="63"/>
      <c r="K22" s="63"/>
    </row>
    <row r="23" spans="1:11" s="63" customFormat="1" x14ac:dyDescent="0.15">
      <c r="A23" s="77"/>
      <c r="B23" s="35"/>
      <c r="C23" s="108"/>
      <c r="D23" s="44"/>
      <c r="E23" s="74"/>
    </row>
    <row r="24" spans="1:11" ht="23.25" thickBot="1" x14ac:dyDescent="0.2">
      <c r="A24" s="75" t="s">
        <v>25</v>
      </c>
      <c r="B24" s="76">
        <f>G14*$B$7/$B$6</f>
        <v>109.99999999999999</v>
      </c>
      <c r="C24" s="76"/>
      <c r="D24" s="76"/>
      <c r="E24" s="90">
        <v>0</v>
      </c>
      <c r="G24" s="63"/>
      <c r="H24" s="63"/>
      <c r="I24" s="63"/>
      <c r="J24" s="63"/>
      <c r="K24" s="63"/>
    </row>
    <row r="25" spans="1:11" ht="23.25" thickBot="1" x14ac:dyDescent="0.2">
      <c r="A25" s="27"/>
      <c r="B25" s="28"/>
      <c r="C25" s="29" t="s">
        <v>59</v>
      </c>
      <c r="D25" s="30" t="s">
        <v>22</v>
      </c>
      <c r="E25" s="32" t="s">
        <v>23</v>
      </c>
      <c r="F25" s="63"/>
      <c r="G25" s="63"/>
      <c r="H25" s="63"/>
      <c r="I25" s="63"/>
      <c r="J25" s="63"/>
      <c r="K25" s="63"/>
    </row>
    <row r="26" spans="1:11" ht="12" thickBot="1" x14ac:dyDescent="0.2">
      <c r="A26" s="162" t="s">
        <v>18</v>
      </c>
      <c r="B26" s="163">
        <f>B24*$B$6/$B$7</f>
        <v>11</v>
      </c>
      <c r="C26" s="164">
        <f>INT(B26)</f>
        <v>11</v>
      </c>
      <c r="D26" s="163">
        <f>B26-C26</f>
        <v>0</v>
      </c>
      <c r="E26" s="165">
        <f>ROUNDDOWN(D26*$B$7/$B$6,2)</f>
        <v>0</v>
      </c>
      <c r="F26" s="63"/>
      <c r="G26" s="63"/>
      <c r="H26" s="63"/>
      <c r="I26" s="63"/>
      <c r="J26" s="63"/>
      <c r="K26" s="63"/>
    </row>
    <row r="27" spans="1:11" s="63" customFormat="1" ht="12" thickBot="1" x14ac:dyDescent="0.2">
      <c r="A27" s="72"/>
    </row>
    <row r="28" spans="1:11" ht="23.25" thickBot="1" x14ac:dyDescent="0.2">
      <c r="A28" s="78" t="s">
        <v>60</v>
      </c>
      <c r="B28" s="79" t="s">
        <v>61</v>
      </c>
      <c r="C28" s="79" t="s">
        <v>42</v>
      </c>
      <c r="D28" s="79" t="s">
        <v>62</v>
      </c>
      <c r="E28" s="79" t="s">
        <v>63</v>
      </c>
      <c r="F28" s="63"/>
      <c r="G28" s="63"/>
      <c r="H28" s="63"/>
      <c r="I28" s="63"/>
      <c r="J28" s="63"/>
      <c r="K28" s="63"/>
    </row>
    <row r="29" spans="1:11" ht="45.75" thickBot="1" x14ac:dyDescent="0.2">
      <c r="A29" s="109" t="s">
        <v>64</v>
      </c>
      <c r="B29" s="117" t="s">
        <v>65</v>
      </c>
      <c r="C29" s="117" t="s">
        <v>66</v>
      </c>
      <c r="D29" s="117" t="s">
        <v>67</v>
      </c>
      <c r="E29" s="117" t="s">
        <v>100</v>
      </c>
      <c r="F29" s="63"/>
      <c r="G29" s="63"/>
      <c r="H29" s="63"/>
      <c r="I29" s="63"/>
      <c r="J29" s="63"/>
      <c r="K29" s="63"/>
    </row>
    <row r="30" spans="1:11" ht="12" thickBot="1" x14ac:dyDescent="0.2">
      <c r="A30" s="109" t="s">
        <v>71</v>
      </c>
      <c r="B30" s="67">
        <f>B16*$B$6</f>
        <v>68.75</v>
      </c>
      <c r="C30" s="91">
        <f>G15*$B$7</f>
        <v>60.5</v>
      </c>
      <c r="D30" s="67">
        <f>(B16-B24)*$B$6</f>
        <v>8.2500000000000089</v>
      </c>
      <c r="E30" s="89">
        <f>B30-(C30+D30)</f>
        <v>0</v>
      </c>
      <c r="F30" s="63"/>
      <c r="G30" s="63"/>
      <c r="H30" s="63"/>
      <c r="I30" s="63"/>
      <c r="J30" s="63"/>
      <c r="K30" s="63"/>
    </row>
    <row r="31" spans="1:11" x14ac:dyDescent="0.15">
      <c r="A31" s="72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x14ac:dyDescent="0.15">
      <c r="A32" s="53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15">
      <c r="A33" s="72" t="s">
        <v>31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x14ac:dyDescent="0.15">
      <c r="A34" s="53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x14ac:dyDescent="0.15">
      <c r="A35" s="53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x14ac:dyDescent="0.15">
      <c r="A36" s="72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" thickBot="1" x14ac:dyDescent="0.2">
      <c r="A37" s="72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1.25" customHeight="1" x14ac:dyDescent="0.15">
      <c r="A38" s="203"/>
      <c r="B38" s="195" t="s">
        <v>45</v>
      </c>
      <c r="C38" s="64" t="s">
        <v>40</v>
      </c>
      <c r="D38" s="195" t="s">
        <v>79</v>
      </c>
      <c r="E38" s="195" t="s">
        <v>42</v>
      </c>
      <c r="F38" s="195" t="s">
        <v>43</v>
      </c>
      <c r="G38" s="190" t="s">
        <v>81</v>
      </c>
      <c r="H38" s="195" t="s">
        <v>82</v>
      </c>
      <c r="I38" s="204" t="s">
        <v>46</v>
      </c>
      <c r="J38" s="190" t="s">
        <v>80</v>
      </c>
      <c r="K38" s="63"/>
    </row>
    <row r="39" spans="1:11" ht="12" thickBot="1" x14ac:dyDescent="0.2">
      <c r="A39" s="199"/>
      <c r="B39" s="196"/>
      <c r="C39" s="65" t="s">
        <v>41</v>
      </c>
      <c r="D39" s="196"/>
      <c r="E39" s="196"/>
      <c r="F39" s="196"/>
      <c r="G39" s="191"/>
      <c r="H39" s="196"/>
      <c r="I39" s="205"/>
      <c r="J39" s="191" t="s">
        <v>3</v>
      </c>
      <c r="K39" s="63"/>
    </row>
    <row r="40" spans="1:11" ht="12" thickBot="1" x14ac:dyDescent="0.2">
      <c r="A40" s="66" t="s">
        <v>29</v>
      </c>
      <c r="B40" s="67">
        <v>125</v>
      </c>
      <c r="C40" s="87">
        <f>B40*$B$6</f>
        <v>68.75</v>
      </c>
      <c r="D40" s="80">
        <v>0.15</v>
      </c>
      <c r="E40" s="87">
        <f>C40-(C40*D40)</f>
        <v>58.4375</v>
      </c>
      <c r="F40" s="114" t="s">
        <v>88</v>
      </c>
      <c r="G40" s="67">
        <f>ROUNDDOWN(E40/$B$7,0)</f>
        <v>10</v>
      </c>
      <c r="H40" s="67">
        <v>0</v>
      </c>
      <c r="I40" s="102">
        <f>G40*$B$7</f>
        <v>55</v>
      </c>
      <c r="J40" s="84">
        <f>C40-I40</f>
        <v>13.75</v>
      </c>
      <c r="K40" s="63"/>
    </row>
    <row r="41" spans="1:11" ht="12" thickBot="1" x14ac:dyDescent="0.2">
      <c r="A41" s="70" t="s">
        <v>10</v>
      </c>
      <c r="B41" s="71">
        <v>125</v>
      </c>
      <c r="C41" s="71">
        <v>68.75</v>
      </c>
      <c r="D41" s="71"/>
      <c r="E41" s="71">
        <v>58.44</v>
      </c>
      <c r="F41" s="65" t="s">
        <v>88</v>
      </c>
      <c r="G41" s="71">
        <f>SUM(G40)</f>
        <v>10</v>
      </c>
      <c r="H41" s="71">
        <f t="shared" ref="H41:J41" si="2">SUM(H40)</f>
        <v>0</v>
      </c>
      <c r="I41" s="103">
        <f t="shared" si="2"/>
        <v>55</v>
      </c>
      <c r="J41" s="103">
        <f t="shared" si="2"/>
        <v>13.75</v>
      </c>
      <c r="K41" s="63"/>
    </row>
    <row r="42" spans="1:11" x14ac:dyDescent="0.15">
      <c r="A42" s="82" t="s">
        <v>26</v>
      </c>
      <c r="B42" s="60">
        <v>125</v>
      </c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2" thickBot="1" x14ac:dyDescent="0.2">
      <c r="A43" s="72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1.25" customHeight="1" x14ac:dyDescent="0.15">
      <c r="A44" s="195" t="s">
        <v>53</v>
      </c>
      <c r="B44" s="73" t="s">
        <v>14</v>
      </c>
      <c r="C44" s="73"/>
      <c r="D44" s="73"/>
      <c r="E44" s="73" t="s">
        <v>15</v>
      </c>
      <c r="F44" s="63"/>
      <c r="G44" s="63"/>
      <c r="H44" s="63"/>
      <c r="I44" s="63"/>
      <c r="J44" s="63"/>
      <c r="K44" s="63"/>
    </row>
    <row r="45" spans="1:11" ht="23.25" thickBot="1" x14ac:dyDescent="0.2">
      <c r="A45" s="196"/>
      <c r="B45" s="71" t="s">
        <v>54</v>
      </c>
      <c r="C45" s="71"/>
      <c r="D45" s="71"/>
      <c r="E45" s="71" t="s">
        <v>57</v>
      </c>
      <c r="F45" s="63"/>
      <c r="G45" s="63"/>
      <c r="H45" s="63"/>
      <c r="I45" s="63"/>
      <c r="J45" s="63"/>
      <c r="K45" s="63"/>
    </row>
    <row r="46" spans="1:11" ht="45" x14ac:dyDescent="0.15">
      <c r="A46" s="197" t="s">
        <v>56</v>
      </c>
      <c r="B46" s="214" t="s">
        <v>32</v>
      </c>
      <c r="C46" s="63"/>
      <c r="D46" s="107"/>
      <c r="E46" s="116" t="s">
        <v>98</v>
      </c>
      <c r="F46" s="63"/>
      <c r="G46" s="63"/>
      <c r="H46" s="63"/>
      <c r="I46" s="63"/>
      <c r="J46" s="63"/>
      <c r="K46" s="63"/>
    </row>
    <row r="47" spans="1:11" x14ac:dyDescent="0.15">
      <c r="A47" s="198"/>
      <c r="B47" s="201"/>
      <c r="C47" s="116"/>
      <c r="D47" s="100"/>
      <c r="E47" s="35"/>
      <c r="F47" s="63"/>
      <c r="G47" s="63"/>
      <c r="H47" s="63"/>
      <c r="I47" s="63"/>
      <c r="J47" s="63"/>
      <c r="K47" s="63"/>
    </row>
    <row r="48" spans="1:11" ht="12" thickBot="1" x14ac:dyDescent="0.2">
      <c r="A48" s="199"/>
      <c r="B48" s="202"/>
      <c r="C48" s="69"/>
      <c r="D48" s="101"/>
      <c r="E48" s="69"/>
      <c r="F48" s="63"/>
      <c r="G48" s="63"/>
      <c r="H48" s="63"/>
      <c r="I48" s="63"/>
      <c r="J48" s="63"/>
      <c r="K48" s="63"/>
    </row>
    <row r="49" spans="1:11" ht="23.25" thickBot="1" x14ac:dyDescent="0.2">
      <c r="A49" s="75" t="s">
        <v>25</v>
      </c>
      <c r="B49" s="76">
        <v>100</v>
      </c>
      <c r="C49" s="76"/>
      <c r="D49" s="76"/>
      <c r="E49" s="76">
        <v>0</v>
      </c>
      <c r="F49" s="63"/>
      <c r="G49" s="63"/>
      <c r="H49" s="63"/>
      <c r="I49" s="63"/>
      <c r="J49" s="63"/>
      <c r="K49" s="63"/>
    </row>
    <row r="50" spans="1:11" ht="23.25" thickBot="1" x14ac:dyDescent="0.2">
      <c r="A50" s="27"/>
      <c r="B50" s="28"/>
      <c r="C50" s="29" t="s">
        <v>59</v>
      </c>
      <c r="D50" s="30" t="s">
        <v>22</v>
      </c>
      <c r="E50" s="32" t="s">
        <v>23</v>
      </c>
      <c r="F50" s="63"/>
      <c r="G50" s="63"/>
      <c r="H50" s="63"/>
      <c r="I50" s="63"/>
      <c r="J50" s="63"/>
      <c r="K50" s="63"/>
    </row>
    <row r="51" spans="1:11" ht="12" thickBot="1" x14ac:dyDescent="0.2">
      <c r="A51" s="162" t="s">
        <v>18</v>
      </c>
      <c r="B51" s="163">
        <f>B49*$B$6/$B$7</f>
        <v>10.000000000000002</v>
      </c>
      <c r="C51" s="164">
        <f>INT(B51)</f>
        <v>10</v>
      </c>
      <c r="D51" s="163">
        <f>B51-C51</f>
        <v>0</v>
      </c>
      <c r="E51" s="165">
        <f>ROUNDDOWN(D51*$B$7/$B$6,2)</f>
        <v>0</v>
      </c>
      <c r="F51" s="63"/>
      <c r="G51" s="63"/>
      <c r="H51" s="63"/>
      <c r="I51" s="63"/>
      <c r="J51" s="63"/>
      <c r="K51" s="63"/>
    </row>
    <row r="52" spans="1:11" ht="23.25" thickBot="1" x14ac:dyDescent="0.2">
      <c r="A52" s="78" t="s">
        <v>60</v>
      </c>
      <c r="B52" s="79" t="s">
        <v>61</v>
      </c>
      <c r="C52" s="79" t="s">
        <v>42</v>
      </c>
      <c r="D52" s="79" t="s">
        <v>62</v>
      </c>
      <c r="E52" s="79" t="s">
        <v>63</v>
      </c>
      <c r="F52" s="63"/>
      <c r="G52" s="63"/>
      <c r="H52" s="63"/>
      <c r="I52" s="63"/>
      <c r="J52" s="63"/>
      <c r="K52" s="63"/>
    </row>
    <row r="53" spans="1:11" ht="45.75" thickBot="1" x14ac:dyDescent="0.2">
      <c r="A53" s="109" t="s">
        <v>64</v>
      </c>
      <c r="B53" s="117" t="s">
        <v>65</v>
      </c>
      <c r="C53" s="117" t="s">
        <v>66</v>
      </c>
      <c r="D53" s="117" t="s">
        <v>67</v>
      </c>
      <c r="E53" s="117" t="s">
        <v>100</v>
      </c>
      <c r="F53" s="63"/>
      <c r="G53" s="63"/>
      <c r="H53" s="63"/>
      <c r="I53" s="63"/>
      <c r="J53" s="63"/>
      <c r="K53" s="63"/>
    </row>
    <row r="54" spans="1:11" ht="12" thickBot="1" x14ac:dyDescent="0.2">
      <c r="A54" s="109" t="s">
        <v>71</v>
      </c>
      <c r="B54" s="67">
        <f>B42*$B$6</f>
        <v>68.75</v>
      </c>
      <c r="C54" s="91">
        <f>G41*$B$7</f>
        <v>55</v>
      </c>
      <c r="D54" s="67">
        <f>(B41-B49)*$B$6</f>
        <v>13.750000000000002</v>
      </c>
      <c r="E54" s="89">
        <f>B54-(C54+D54)</f>
        <v>0</v>
      </c>
      <c r="F54" s="63"/>
      <c r="G54" s="63"/>
      <c r="H54" s="63"/>
      <c r="I54" s="63"/>
      <c r="J54" s="63"/>
      <c r="K54" s="63"/>
    </row>
    <row r="55" spans="1:11" x14ac:dyDescent="0.15">
      <c r="A55" s="72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</row>
    <row r="57" spans="1:11" x14ac:dyDescent="0.1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x14ac:dyDescent="0.15">
      <c r="A59" s="63"/>
      <c r="B59" s="63"/>
      <c r="C59" s="63"/>
      <c r="D59" s="63"/>
      <c r="E59" s="63"/>
      <c r="F59" s="60"/>
      <c r="G59" s="63"/>
      <c r="H59" s="63"/>
      <c r="I59" s="63"/>
      <c r="J59" s="63"/>
      <c r="K59" s="63"/>
    </row>
  </sheetData>
  <mergeCells count="25">
    <mergeCell ref="J12:J13"/>
    <mergeCell ref="J38:J39"/>
    <mergeCell ref="G38:G39"/>
    <mergeCell ref="H38:H39"/>
    <mergeCell ref="I38:I39"/>
    <mergeCell ref="A44:A45"/>
    <mergeCell ref="A46:A48"/>
    <mergeCell ref="B46:B48"/>
    <mergeCell ref="A38:A39"/>
    <mergeCell ref="B38:B39"/>
    <mergeCell ref="D38:D39"/>
    <mergeCell ref="E38:E39"/>
    <mergeCell ref="F38:F39"/>
    <mergeCell ref="H12:H13"/>
    <mergeCell ref="I12:I13"/>
    <mergeCell ref="D12:D13"/>
    <mergeCell ref="E12:E13"/>
    <mergeCell ref="F12:F13"/>
    <mergeCell ref="G12:G13"/>
    <mergeCell ref="D20:D22"/>
    <mergeCell ref="A18:A19"/>
    <mergeCell ref="A20:A22"/>
    <mergeCell ref="B20:B22"/>
    <mergeCell ref="A12:A13"/>
    <mergeCell ref="B12:B13"/>
  </mergeCells>
  <pageMargins left="0.7" right="0.7" top="0.75" bottom="0.75" header="0.3" footer="0.3"/>
  <pageSetup orientation="portrait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G32" sqref="G32"/>
    </sheetView>
  </sheetViews>
  <sheetFormatPr defaultColWidth="11" defaultRowHeight="11.25" x14ac:dyDescent="0.15"/>
  <cols>
    <col min="1" max="1" width="21.75" customWidth="1"/>
    <col min="2" max="2" width="17.625" customWidth="1"/>
    <col min="3" max="3" width="17.75" customWidth="1"/>
    <col min="4" max="4" width="18.75" customWidth="1"/>
    <col min="5" max="5" width="19.5" customWidth="1"/>
    <col min="6" max="6" width="16.5" customWidth="1"/>
    <col min="7" max="7" width="14" customWidth="1"/>
  </cols>
  <sheetData>
    <row r="1" spans="1:11" ht="18" x14ac:dyDescent="0.25">
      <c r="A1" s="110" t="s">
        <v>107</v>
      </c>
      <c r="B1" s="110" t="s">
        <v>127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15">
      <c r="A2" s="72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" thickBot="1" x14ac:dyDescent="0.2">
      <c r="A3" s="7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" thickBot="1" x14ac:dyDescent="0.2">
      <c r="A4" s="2" t="s">
        <v>0</v>
      </c>
      <c r="B4" s="3">
        <v>10</v>
      </c>
      <c r="C4" s="3" t="s">
        <v>34</v>
      </c>
      <c r="D4" s="3">
        <v>1</v>
      </c>
      <c r="E4" s="4" t="s">
        <v>35</v>
      </c>
      <c r="F4" s="63"/>
      <c r="G4" s="63"/>
      <c r="H4" s="63"/>
      <c r="I4" s="63"/>
      <c r="J4" s="63"/>
      <c r="K4" s="63"/>
    </row>
    <row r="5" spans="1:11" x14ac:dyDescent="0.15">
      <c r="A5" s="72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x14ac:dyDescent="0.15">
      <c r="A6" s="111" t="s">
        <v>36</v>
      </c>
      <c r="B6" s="63">
        <v>0.55000000000000004</v>
      </c>
      <c r="C6" s="63" t="s">
        <v>1</v>
      </c>
      <c r="D6" s="63"/>
      <c r="E6" s="63"/>
      <c r="F6" s="63"/>
      <c r="G6" s="63"/>
      <c r="H6" s="63"/>
      <c r="I6" s="63"/>
      <c r="J6" s="63"/>
      <c r="K6" s="63"/>
    </row>
    <row r="7" spans="1:11" x14ac:dyDescent="0.15">
      <c r="A7" s="111" t="s">
        <v>37</v>
      </c>
      <c r="B7" s="63">
        <v>5.5</v>
      </c>
      <c r="C7" s="63" t="s">
        <v>1</v>
      </c>
      <c r="D7" s="63"/>
      <c r="E7" s="63"/>
      <c r="F7" s="63"/>
      <c r="G7" s="63"/>
      <c r="H7" s="63"/>
      <c r="I7" s="63"/>
      <c r="J7" s="63"/>
      <c r="K7" s="63"/>
    </row>
    <row r="8" spans="1:11" x14ac:dyDescent="0.15">
      <c r="A8" s="72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x14ac:dyDescent="0.1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x14ac:dyDescent="0.15">
      <c r="A10" s="159" t="s">
        <v>124</v>
      </c>
      <c r="B10" s="157"/>
      <c r="C10" s="157"/>
      <c r="D10" s="157"/>
      <c r="E10" s="157"/>
      <c r="F10" s="63"/>
      <c r="G10" s="63"/>
      <c r="H10" s="63"/>
      <c r="I10" s="63"/>
      <c r="J10" s="63"/>
      <c r="K10" s="63"/>
    </row>
    <row r="11" spans="1:11" s="63" customFormat="1" x14ac:dyDescent="0.15">
      <c r="A11" s="160" t="s">
        <v>125</v>
      </c>
      <c r="B11" s="157"/>
      <c r="C11" s="158"/>
      <c r="D11" s="157"/>
      <c r="E11" s="157"/>
    </row>
    <row r="12" spans="1:11" s="63" customFormat="1" x14ac:dyDescent="0.15">
      <c r="A12" s="72"/>
      <c r="C12" s="83"/>
    </row>
    <row r="13" spans="1:11" ht="12" thickBot="1" x14ac:dyDescent="0.2">
      <c r="A13" s="63"/>
      <c r="B13" s="63"/>
      <c r="C13" s="63"/>
      <c r="D13" s="63"/>
      <c r="E13" s="63"/>
      <c r="F13" s="5"/>
      <c r="G13" s="63"/>
      <c r="H13" s="63"/>
      <c r="I13" s="63"/>
      <c r="J13" s="63"/>
      <c r="K13" s="63"/>
    </row>
    <row r="14" spans="1:11" ht="11.25" customHeight="1" x14ac:dyDescent="0.15">
      <c r="A14" s="203"/>
      <c r="B14" s="195" t="s">
        <v>45</v>
      </c>
      <c r="C14" s="64" t="s">
        <v>40</v>
      </c>
      <c r="D14" s="195" t="s">
        <v>42</v>
      </c>
      <c r="E14" s="195" t="s">
        <v>43</v>
      </c>
      <c r="F14" s="190" t="s">
        <v>81</v>
      </c>
      <c r="G14" s="190" t="s">
        <v>82</v>
      </c>
      <c r="H14" s="204" t="s">
        <v>46</v>
      </c>
      <c r="I14" s="190" t="s">
        <v>80</v>
      </c>
      <c r="J14" s="63"/>
      <c r="K14" s="63"/>
    </row>
    <row r="15" spans="1:11" ht="12" thickBot="1" x14ac:dyDescent="0.2">
      <c r="A15" s="199"/>
      <c r="B15" s="196"/>
      <c r="C15" s="65" t="s">
        <v>41</v>
      </c>
      <c r="D15" s="196"/>
      <c r="E15" s="196"/>
      <c r="F15" s="191"/>
      <c r="G15" s="191"/>
      <c r="H15" s="205"/>
      <c r="I15" s="191" t="s">
        <v>3</v>
      </c>
      <c r="J15" s="63"/>
      <c r="K15" s="63"/>
    </row>
    <row r="16" spans="1:11" ht="12" thickBot="1" x14ac:dyDescent="0.2">
      <c r="A16" s="99" t="s">
        <v>4</v>
      </c>
      <c r="B16" s="67">
        <v>125</v>
      </c>
      <c r="C16" s="87">
        <f>B16*$B$6</f>
        <v>68.75</v>
      </c>
      <c r="D16" s="87">
        <v>68.75</v>
      </c>
      <c r="E16" s="104" t="s">
        <v>7</v>
      </c>
      <c r="F16" s="67">
        <f>ROUNDUP(C16/$B$7,0)</f>
        <v>13</v>
      </c>
      <c r="G16" s="67">
        <v>1</v>
      </c>
      <c r="H16" s="86">
        <f>F16*$B$7</f>
        <v>71.5</v>
      </c>
      <c r="I16" s="11">
        <f>C16-H16</f>
        <v>-2.75</v>
      </c>
      <c r="J16" s="63"/>
      <c r="K16" s="63"/>
    </row>
    <row r="17" spans="1:11" ht="12" thickBot="1" x14ac:dyDescent="0.2">
      <c r="A17" s="99" t="s">
        <v>6</v>
      </c>
      <c r="B17" s="67">
        <v>30</v>
      </c>
      <c r="C17" s="87">
        <f t="shared" ref="C17:C19" si="0">B17*$B$6</f>
        <v>16.5</v>
      </c>
      <c r="D17" s="87">
        <v>16.5</v>
      </c>
      <c r="E17" s="69" t="s">
        <v>7</v>
      </c>
      <c r="F17" s="67">
        <f>ROUNDUP(C17/$B$7,0)</f>
        <v>3</v>
      </c>
      <c r="G17" s="67">
        <v>0</v>
      </c>
      <c r="H17" s="86">
        <f>F17*$B$7</f>
        <v>16.5</v>
      </c>
      <c r="I17" s="11">
        <f>C17-H17</f>
        <v>0</v>
      </c>
      <c r="J17" s="63"/>
      <c r="K17" s="63"/>
    </row>
    <row r="18" spans="1:11" ht="12" thickBot="1" x14ac:dyDescent="0.2">
      <c r="A18" s="99" t="s">
        <v>8</v>
      </c>
      <c r="B18" s="67">
        <v>9</v>
      </c>
      <c r="C18" s="87">
        <f t="shared" si="0"/>
        <v>4.95</v>
      </c>
      <c r="D18" s="87">
        <v>4.95</v>
      </c>
      <c r="E18" s="69" t="s">
        <v>7</v>
      </c>
      <c r="F18" s="105">
        <f>ROUNDUP(C18/$B$7,0)</f>
        <v>1</v>
      </c>
      <c r="G18" s="105">
        <v>1</v>
      </c>
      <c r="H18" s="86">
        <v>5.5</v>
      </c>
      <c r="I18" s="11">
        <f>C18-H18</f>
        <v>-0.54999999999999982</v>
      </c>
      <c r="J18" s="63"/>
      <c r="K18" s="63"/>
    </row>
    <row r="19" spans="1:11" ht="12" thickBot="1" x14ac:dyDescent="0.2">
      <c r="A19" s="99" t="s">
        <v>9</v>
      </c>
      <c r="B19" s="67">
        <v>151</v>
      </c>
      <c r="C19" s="87">
        <f t="shared" si="0"/>
        <v>83.050000000000011</v>
      </c>
      <c r="D19" s="87">
        <v>83.05</v>
      </c>
      <c r="E19" s="69" t="s">
        <v>7</v>
      </c>
      <c r="F19" s="105">
        <f>ROUNDUP(C19/$B$7,0)</f>
        <v>16</v>
      </c>
      <c r="G19" s="105">
        <v>1</v>
      </c>
      <c r="H19" s="86">
        <f>F19*$B$7</f>
        <v>88</v>
      </c>
      <c r="I19" s="11">
        <f>C19-H19</f>
        <v>-4.9499999999999886</v>
      </c>
      <c r="J19" s="63"/>
      <c r="K19" s="63"/>
    </row>
    <row r="20" spans="1:11" ht="12" thickBot="1" x14ac:dyDescent="0.2">
      <c r="A20" s="98" t="s">
        <v>10</v>
      </c>
      <c r="B20" s="71">
        <f>SUM(B16:B19)</f>
        <v>315</v>
      </c>
      <c r="C20" s="71">
        <f t="shared" ref="C20:D20" si="1">SUM(C16:C19)</f>
        <v>173.25</v>
      </c>
      <c r="D20" s="71">
        <f t="shared" si="1"/>
        <v>173.25</v>
      </c>
      <c r="E20" s="189" t="s">
        <v>128</v>
      </c>
      <c r="F20" s="85">
        <f>SUM(F16:F19)</f>
        <v>33</v>
      </c>
      <c r="G20" s="85">
        <f>SUM(G16:G19)</f>
        <v>3</v>
      </c>
      <c r="H20" s="14">
        <f>SUM(H16:H19)</f>
        <v>181.5</v>
      </c>
      <c r="I20" s="15">
        <f>SUM(I16:I19)</f>
        <v>-8.2499999999999893</v>
      </c>
      <c r="J20" s="63"/>
      <c r="K20" s="63"/>
    </row>
    <row r="21" spans="1:11" x14ac:dyDescent="0.15">
      <c r="A21" s="82" t="s">
        <v>26</v>
      </c>
      <c r="B21" s="60">
        <f>B20</f>
        <v>315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" thickBot="1" x14ac:dyDescent="0.2">
      <c r="A22" s="72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1.25" customHeight="1" x14ac:dyDescent="0.15">
      <c r="A23" s="190" t="s">
        <v>136</v>
      </c>
      <c r="B23" s="73" t="s">
        <v>14</v>
      </c>
      <c r="C23" s="73"/>
      <c r="D23" s="73"/>
      <c r="E23" s="73" t="s">
        <v>15</v>
      </c>
      <c r="F23" s="63"/>
      <c r="G23" s="63"/>
      <c r="H23" s="63"/>
      <c r="I23" s="63"/>
      <c r="J23" s="63"/>
      <c r="K23" s="63"/>
    </row>
    <row r="24" spans="1:11" ht="23.25" thickBot="1" x14ac:dyDescent="0.2">
      <c r="A24" s="191"/>
      <c r="B24" s="71" t="s">
        <v>54</v>
      </c>
      <c r="C24" s="71"/>
      <c r="D24" s="71"/>
      <c r="E24" s="71" t="s">
        <v>57</v>
      </c>
      <c r="F24" s="63"/>
      <c r="G24" s="63"/>
      <c r="H24" s="63"/>
      <c r="I24" s="63"/>
      <c r="J24" s="63"/>
      <c r="K24" s="63"/>
    </row>
    <row r="25" spans="1:11" ht="45" x14ac:dyDescent="0.15">
      <c r="A25" s="197" t="s">
        <v>56</v>
      </c>
      <c r="B25" s="200" t="s">
        <v>135</v>
      </c>
      <c r="C25" s="200" t="s">
        <v>133</v>
      </c>
      <c r="D25" s="200" t="s">
        <v>134</v>
      </c>
      <c r="E25" s="130" t="s">
        <v>132</v>
      </c>
      <c r="F25" s="63"/>
      <c r="G25" s="63"/>
      <c r="H25" s="63"/>
      <c r="I25" s="63"/>
      <c r="J25" s="63"/>
      <c r="K25" s="63"/>
    </row>
    <row r="26" spans="1:11" x14ac:dyDescent="0.15">
      <c r="A26" s="198"/>
      <c r="B26" s="201"/>
      <c r="C26" s="215"/>
      <c r="D26" s="201"/>
      <c r="E26" s="134"/>
      <c r="F26" s="63"/>
      <c r="G26" s="63"/>
      <c r="H26" s="63"/>
      <c r="I26" s="63"/>
      <c r="J26" s="63"/>
      <c r="K26" s="63"/>
    </row>
    <row r="27" spans="1:11" ht="12" thickBot="1" x14ac:dyDescent="0.2">
      <c r="A27" s="199"/>
      <c r="B27" s="202"/>
      <c r="C27" s="216"/>
      <c r="D27" s="202"/>
      <c r="E27" s="132"/>
      <c r="F27" s="63"/>
      <c r="G27" s="63"/>
      <c r="H27" s="63"/>
      <c r="I27" s="63"/>
      <c r="J27" s="63"/>
      <c r="K27" s="63"/>
    </row>
    <row r="28" spans="1:11" ht="12" thickBot="1" x14ac:dyDescent="0.2">
      <c r="A28" s="75" t="s">
        <v>16</v>
      </c>
      <c r="B28" s="76">
        <v>315</v>
      </c>
      <c r="C28" s="76"/>
      <c r="D28" s="76"/>
      <c r="E28" s="76">
        <v>1</v>
      </c>
      <c r="F28" s="63"/>
      <c r="G28" s="63"/>
      <c r="H28" s="63"/>
      <c r="I28" s="63"/>
      <c r="J28" s="63"/>
      <c r="K28" s="63"/>
    </row>
    <row r="29" spans="1:11" ht="12" thickBot="1" x14ac:dyDescent="0.2">
      <c r="A29" s="162" t="s">
        <v>72</v>
      </c>
      <c r="B29" s="163">
        <f>B28*$B$6/$B$7</f>
        <v>31.5</v>
      </c>
      <c r="C29" s="164">
        <f>ROUNDUP(B29,0)</f>
        <v>32</v>
      </c>
      <c r="D29" s="163">
        <f>(C29*$B$7)-(B28*$B$6)</f>
        <v>2.75</v>
      </c>
      <c r="E29" s="165">
        <f>E28*$B$7</f>
        <v>5.5</v>
      </c>
      <c r="F29" s="63"/>
      <c r="G29" s="63"/>
      <c r="H29" s="63"/>
      <c r="I29" s="63"/>
      <c r="J29" s="63"/>
      <c r="K29" s="63"/>
    </row>
    <row r="30" spans="1:11" ht="12" thickBot="1" x14ac:dyDescent="0.2">
      <c r="A30" s="72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34.5" thickBot="1" x14ac:dyDescent="0.2">
      <c r="A31" s="78" t="s">
        <v>60</v>
      </c>
      <c r="B31" s="36" t="s">
        <v>61</v>
      </c>
      <c r="C31" s="36" t="s">
        <v>42</v>
      </c>
      <c r="D31" s="36" t="s">
        <v>62</v>
      </c>
      <c r="E31" s="36" t="s">
        <v>103</v>
      </c>
      <c r="F31" s="79" t="s">
        <v>105</v>
      </c>
      <c r="G31" s="79" t="s">
        <v>63</v>
      </c>
      <c r="I31" s="63"/>
      <c r="J31" s="63"/>
      <c r="K31" s="63"/>
    </row>
    <row r="32" spans="1:11" ht="90.75" thickBot="1" x14ac:dyDescent="0.2">
      <c r="A32" s="109" t="s">
        <v>64</v>
      </c>
      <c r="B32" s="117" t="s">
        <v>65</v>
      </c>
      <c r="C32" s="117" t="s">
        <v>66</v>
      </c>
      <c r="D32" s="117" t="s">
        <v>67</v>
      </c>
      <c r="E32" s="117" t="s">
        <v>104</v>
      </c>
      <c r="F32" s="118" t="s">
        <v>106</v>
      </c>
      <c r="G32" s="117" t="s">
        <v>137</v>
      </c>
      <c r="I32" s="63"/>
      <c r="J32" s="63"/>
      <c r="K32" s="63"/>
    </row>
    <row r="33" spans="1:11" ht="12" thickBot="1" x14ac:dyDescent="0.2">
      <c r="A33" s="109" t="s">
        <v>71</v>
      </c>
      <c r="B33" s="91">
        <f>B21*$B$6</f>
        <v>173.25</v>
      </c>
      <c r="C33" s="91">
        <f>C29*$B$7</f>
        <v>176</v>
      </c>
      <c r="D33" s="67">
        <f>(B20-B28)*$B$6</f>
        <v>0</v>
      </c>
      <c r="E33" s="89">
        <f>B33-(C33+D33)</f>
        <v>-2.75</v>
      </c>
      <c r="F33" s="106">
        <f>-1*E28*$B$7</f>
        <v>-5.5</v>
      </c>
      <c r="G33" s="92">
        <f>B33+E33-(C33+D33+F33)</f>
        <v>0</v>
      </c>
      <c r="H33" s="63"/>
      <c r="I33" s="63"/>
      <c r="J33" s="63"/>
      <c r="K33" s="63"/>
    </row>
    <row r="34" spans="1:11" x14ac:dyDescent="0.1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x14ac:dyDescent="0.1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x14ac:dyDescent="0.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</row>
  </sheetData>
  <mergeCells count="13">
    <mergeCell ref="H14:H15"/>
    <mergeCell ref="I14:I15"/>
    <mergeCell ref="A23:A24"/>
    <mergeCell ref="A25:A27"/>
    <mergeCell ref="B25:B27"/>
    <mergeCell ref="D25:D27"/>
    <mergeCell ref="A14:A15"/>
    <mergeCell ref="B14:B15"/>
    <mergeCell ref="D14:D15"/>
    <mergeCell ref="E14:E15"/>
    <mergeCell ref="F14:F15"/>
    <mergeCell ref="G14:G15"/>
    <mergeCell ref="C25:C27"/>
  </mergeCells>
  <pageMargins left="0.7" right="0.7" top="0.75" bottom="0.75" header="0.3" footer="0.3"/>
  <pageSetup orientation="portrait" r:id="rId1"/>
  <headerFooter differentOddEven="1">
    <oddFooter>&amp;L&amp;"Arial,Regular"&amp;9Information Classification: Limited Access</oddFooter>
    <evenFooter>&amp;L&amp;"Arial,Regular"&amp;9Information Classification: Limited Access</even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C14" sqref="C14"/>
    </sheetView>
  </sheetViews>
  <sheetFormatPr defaultColWidth="11" defaultRowHeight="11.25" x14ac:dyDescent="0.15"/>
  <cols>
    <col min="1" max="1" width="20.5" bestFit="1" customWidth="1"/>
    <col min="2" max="2" width="25.875" customWidth="1"/>
    <col min="3" max="3" width="21.625" customWidth="1"/>
    <col min="4" max="4" width="27.125" customWidth="1"/>
    <col min="5" max="5" width="25.375" customWidth="1"/>
    <col min="6" max="6" width="26.875" customWidth="1"/>
  </cols>
  <sheetData>
    <row r="1" spans="1:11" s="63" customFormat="1" ht="28.5" customHeight="1" x14ac:dyDescent="0.25">
      <c r="A1" s="161" t="s">
        <v>126</v>
      </c>
    </row>
    <row r="2" spans="1:11" s="63" customFormat="1" ht="28.5" customHeight="1" x14ac:dyDescent="0.25">
      <c r="A2" s="161"/>
    </row>
    <row r="3" spans="1:11" ht="18" x14ac:dyDescent="0.25">
      <c r="A3" s="110" t="s">
        <v>76</v>
      </c>
      <c r="B3" s="110" t="s">
        <v>77</v>
      </c>
      <c r="C3" s="63"/>
      <c r="D3" s="63"/>
      <c r="E3" s="63"/>
      <c r="F3" s="63"/>
      <c r="G3" s="63"/>
      <c r="H3" s="63"/>
      <c r="I3" s="63"/>
      <c r="J3" s="63"/>
    </row>
    <row r="4" spans="1:11" x14ac:dyDescent="0.15">
      <c r="A4" s="72"/>
      <c r="B4" s="63"/>
      <c r="C4" s="63"/>
      <c r="D4" s="63"/>
      <c r="E4" s="63"/>
      <c r="F4" s="63"/>
      <c r="G4" s="63"/>
      <c r="H4" s="63"/>
      <c r="I4" s="63"/>
      <c r="J4" s="63"/>
    </row>
    <row r="5" spans="1:11" ht="12" thickBot="1" x14ac:dyDescent="0.2">
      <c r="A5" s="72"/>
      <c r="B5" s="63"/>
      <c r="C5" s="63"/>
      <c r="D5" s="63"/>
      <c r="E5" s="63"/>
      <c r="F5" s="63"/>
      <c r="G5" s="63"/>
      <c r="H5" s="63"/>
      <c r="I5" s="63"/>
      <c r="J5" s="63"/>
    </row>
    <row r="6" spans="1:11" ht="12" thickBot="1" x14ac:dyDescent="0.2">
      <c r="A6" s="2" t="s">
        <v>0</v>
      </c>
      <c r="B6" s="3">
        <f>B9/B8</f>
        <v>10</v>
      </c>
      <c r="C6" s="3" t="s">
        <v>34</v>
      </c>
      <c r="D6" s="3">
        <v>1</v>
      </c>
      <c r="E6" s="4" t="s">
        <v>35</v>
      </c>
      <c r="F6" s="63"/>
      <c r="G6" s="63"/>
      <c r="H6" s="63"/>
      <c r="I6" s="63"/>
      <c r="J6" s="63"/>
    </row>
    <row r="7" spans="1:11" x14ac:dyDescent="0.15">
      <c r="A7" s="72"/>
      <c r="B7" s="63"/>
      <c r="C7" s="63"/>
      <c r="D7" s="63"/>
      <c r="E7" s="63"/>
      <c r="F7" s="63"/>
      <c r="G7" s="63"/>
      <c r="H7" s="63"/>
      <c r="I7" s="63"/>
      <c r="J7" s="63"/>
    </row>
    <row r="8" spans="1:11" x14ac:dyDescent="0.15">
      <c r="A8" s="111" t="s">
        <v>36</v>
      </c>
      <c r="B8" s="63">
        <v>0.55000000000000004</v>
      </c>
      <c r="C8" s="63" t="s">
        <v>1</v>
      </c>
      <c r="D8" s="63"/>
      <c r="E8" s="63"/>
      <c r="F8" s="63"/>
      <c r="G8" s="63"/>
      <c r="H8" s="63"/>
      <c r="I8" s="63"/>
      <c r="J8" s="63"/>
    </row>
    <row r="9" spans="1:11" x14ac:dyDescent="0.15">
      <c r="A9" s="111" t="s">
        <v>37</v>
      </c>
      <c r="B9" s="63">
        <v>5.5</v>
      </c>
      <c r="C9" s="63" t="s">
        <v>1</v>
      </c>
      <c r="D9" s="63"/>
      <c r="E9" s="63"/>
      <c r="F9" s="63"/>
      <c r="G9" s="63"/>
      <c r="H9" s="63"/>
      <c r="I9" s="63"/>
      <c r="J9" s="63"/>
    </row>
    <row r="10" spans="1:11" x14ac:dyDescent="0.15">
      <c r="A10" s="72"/>
      <c r="B10" s="63"/>
      <c r="C10" s="63"/>
      <c r="D10" s="63"/>
      <c r="E10" s="63"/>
      <c r="F10" s="63"/>
      <c r="G10" s="63"/>
      <c r="H10" s="63"/>
      <c r="I10" s="63"/>
      <c r="J10" s="63"/>
    </row>
    <row r="11" spans="1:11" ht="12" thickBot="1" x14ac:dyDescent="0.2">
      <c r="A11" s="72"/>
      <c r="B11" s="63"/>
      <c r="C11" s="63"/>
      <c r="D11" s="63"/>
      <c r="E11" s="63"/>
      <c r="F11" s="63"/>
      <c r="G11" s="63"/>
      <c r="H11" s="63"/>
      <c r="I11" s="63"/>
      <c r="J11" s="63"/>
    </row>
    <row r="12" spans="1:11" x14ac:dyDescent="0.15">
      <c r="A12" s="203"/>
      <c r="B12" s="195" t="s">
        <v>91</v>
      </c>
      <c r="C12" s="64" t="s">
        <v>61</v>
      </c>
      <c r="D12" s="195" t="s">
        <v>92</v>
      </c>
      <c r="E12" s="195" t="s">
        <v>93</v>
      </c>
      <c r="F12" s="195" t="s">
        <v>94</v>
      </c>
      <c r="G12" s="195" t="s">
        <v>95</v>
      </c>
      <c r="H12" s="195" t="s">
        <v>82</v>
      </c>
      <c r="I12" s="195" t="s">
        <v>96</v>
      </c>
      <c r="J12" s="64" t="s">
        <v>2</v>
      </c>
      <c r="K12" s="63"/>
    </row>
    <row r="13" spans="1:11" ht="12" thickBot="1" x14ac:dyDescent="0.2">
      <c r="A13" s="199"/>
      <c r="B13" s="196"/>
      <c r="C13" s="65"/>
      <c r="D13" s="196"/>
      <c r="E13" s="196"/>
      <c r="F13" s="196"/>
      <c r="G13" s="196"/>
      <c r="H13" s="196"/>
      <c r="I13" s="196"/>
      <c r="J13" s="65" t="s">
        <v>3</v>
      </c>
      <c r="K13" s="63"/>
    </row>
    <row r="14" spans="1:11" ht="12" thickBot="1" x14ac:dyDescent="0.2">
      <c r="A14" s="136" t="s">
        <v>29</v>
      </c>
      <c r="B14" s="67">
        <v>125</v>
      </c>
      <c r="C14" s="87">
        <f>B14*$B$8</f>
        <v>68.75</v>
      </c>
      <c r="D14" s="80">
        <v>0</v>
      </c>
      <c r="E14" s="87">
        <f>C14-(C14*D14)</f>
        <v>68.75</v>
      </c>
      <c r="F14" s="114" t="s">
        <v>89</v>
      </c>
      <c r="G14" s="67">
        <f>ROUNDUP(E14/$B$9,0)</f>
        <v>13</v>
      </c>
      <c r="H14" s="67">
        <v>1</v>
      </c>
      <c r="I14" s="86">
        <f>G14*5.5</f>
        <v>71.5</v>
      </c>
      <c r="J14" s="84">
        <f>C14-I14</f>
        <v>-2.75</v>
      </c>
      <c r="K14" s="63"/>
    </row>
    <row r="15" spans="1:11" s="63" customFormat="1" ht="12" thickBot="1" x14ac:dyDescent="0.2">
      <c r="A15" s="136" t="s">
        <v>121</v>
      </c>
      <c r="B15" s="67">
        <v>231</v>
      </c>
      <c r="C15" s="87">
        <f>B15*$B$8</f>
        <v>127.05000000000001</v>
      </c>
      <c r="D15" s="80">
        <v>0</v>
      </c>
      <c r="E15" s="87">
        <f>C15-(C15*D15)</f>
        <v>127.05000000000001</v>
      </c>
      <c r="F15" s="114" t="s">
        <v>89</v>
      </c>
      <c r="G15" s="67">
        <f>ROUNDUP(E15/$B$9,0)</f>
        <v>24</v>
      </c>
      <c r="H15" s="67">
        <v>1</v>
      </c>
      <c r="I15" s="86">
        <f>G15*5.5</f>
        <v>132</v>
      </c>
      <c r="J15" s="84">
        <f>C15-I15</f>
        <v>-4.9499999999999886</v>
      </c>
    </row>
    <row r="16" spans="1:11" ht="12" thickBot="1" x14ac:dyDescent="0.2">
      <c r="A16" s="95" t="s">
        <v>28</v>
      </c>
      <c r="B16" s="85">
        <f>SUM(B14:B15)</f>
        <v>356</v>
      </c>
      <c r="C16" s="93">
        <f>SUM(C14:C15)</f>
        <v>195.8</v>
      </c>
      <c r="D16" s="93">
        <f t="shared" ref="D16:J16" si="0">SUM(D14:D15)</f>
        <v>0</v>
      </c>
      <c r="E16" s="93">
        <f t="shared" si="0"/>
        <v>195.8</v>
      </c>
      <c r="F16" s="93">
        <f t="shared" si="0"/>
        <v>0</v>
      </c>
      <c r="G16" s="85">
        <f t="shared" si="0"/>
        <v>37</v>
      </c>
      <c r="H16" s="85">
        <f t="shared" si="0"/>
        <v>2</v>
      </c>
      <c r="I16" s="93">
        <f t="shared" si="0"/>
        <v>203.5</v>
      </c>
      <c r="J16" s="93">
        <f t="shared" si="0"/>
        <v>-7.6999999999999886</v>
      </c>
      <c r="K16" s="63"/>
    </row>
    <row r="17" spans="1:11" ht="12" thickBot="1" x14ac:dyDescent="0.2">
      <c r="A17" s="132" t="s">
        <v>6</v>
      </c>
      <c r="B17" s="67">
        <v>30</v>
      </c>
      <c r="C17" s="87">
        <f t="shared" ref="C17:C21" si="1">B17*$B$8</f>
        <v>16.5</v>
      </c>
      <c r="D17" s="80">
        <v>0.3</v>
      </c>
      <c r="E17" s="87">
        <f t="shared" ref="E17:E19" si="2">C17-(C17*D17)</f>
        <v>11.55</v>
      </c>
      <c r="F17" s="114" t="s">
        <v>88</v>
      </c>
      <c r="G17" s="67">
        <v>3</v>
      </c>
      <c r="H17" s="67">
        <v>0</v>
      </c>
      <c r="I17" s="86">
        <v>16.5</v>
      </c>
      <c r="J17" s="84">
        <v>0</v>
      </c>
      <c r="K17" s="63"/>
    </row>
    <row r="18" spans="1:11" ht="12" thickBot="1" x14ac:dyDescent="0.2">
      <c r="A18" s="132" t="s">
        <v>8</v>
      </c>
      <c r="B18" s="67">
        <v>9</v>
      </c>
      <c r="C18" s="87">
        <f t="shared" si="1"/>
        <v>4.95</v>
      </c>
      <c r="D18" s="80">
        <v>0</v>
      </c>
      <c r="E18" s="87">
        <f t="shared" si="2"/>
        <v>4.95</v>
      </c>
      <c r="F18" s="114" t="s">
        <v>88</v>
      </c>
      <c r="G18" s="67">
        <f>ROUNDDOWN(E18/$B$9,0)</f>
        <v>0</v>
      </c>
      <c r="H18" s="67">
        <v>0</v>
      </c>
      <c r="I18" s="86">
        <v>5.5</v>
      </c>
      <c r="J18" s="84">
        <v>-0.54999999999999982</v>
      </c>
      <c r="K18" s="63"/>
    </row>
    <row r="19" spans="1:11" ht="12" thickBot="1" x14ac:dyDescent="0.2">
      <c r="A19" s="132" t="s">
        <v>9</v>
      </c>
      <c r="B19" s="67">
        <v>151</v>
      </c>
      <c r="C19" s="87">
        <f t="shared" si="1"/>
        <v>83.050000000000011</v>
      </c>
      <c r="D19" s="80">
        <v>0.15</v>
      </c>
      <c r="E19" s="87">
        <f t="shared" si="2"/>
        <v>70.592500000000015</v>
      </c>
      <c r="F19" s="114" t="s">
        <v>88</v>
      </c>
      <c r="G19" s="67">
        <v>15</v>
      </c>
      <c r="H19" s="67">
        <v>0</v>
      </c>
      <c r="I19" s="86">
        <v>71.5</v>
      </c>
      <c r="J19" s="84">
        <v>11.550000000000011</v>
      </c>
      <c r="K19" s="63"/>
    </row>
    <row r="20" spans="1:11" ht="12" thickBot="1" x14ac:dyDescent="0.2">
      <c r="A20" s="129" t="s">
        <v>10</v>
      </c>
      <c r="B20" s="71">
        <f>SUM(B17:B19)</f>
        <v>190</v>
      </c>
      <c r="C20" s="93">
        <f>SUM(C17:C19)</f>
        <v>104.50000000000001</v>
      </c>
      <c r="D20" s="71"/>
      <c r="E20" s="93">
        <f t="shared" ref="E20:J20" si="3">SUM(E17:E19)</f>
        <v>87.092500000000015</v>
      </c>
      <c r="F20" s="93">
        <f t="shared" si="3"/>
        <v>0</v>
      </c>
      <c r="G20" s="85">
        <f t="shared" si="3"/>
        <v>18</v>
      </c>
      <c r="H20" s="85">
        <f t="shared" si="3"/>
        <v>0</v>
      </c>
      <c r="I20" s="93">
        <f>SUM(I17:I19)</f>
        <v>93.5</v>
      </c>
      <c r="J20" s="96">
        <f t="shared" si="3"/>
        <v>11.000000000000011</v>
      </c>
      <c r="K20" s="63"/>
    </row>
    <row r="21" spans="1:11" ht="12" thickBot="1" x14ac:dyDescent="0.2">
      <c r="A21" s="132" t="s">
        <v>11</v>
      </c>
      <c r="B21" s="67">
        <v>145</v>
      </c>
      <c r="C21" s="87">
        <f t="shared" si="1"/>
        <v>79.75</v>
      </c>
      <c r="D21" s="81">
        <v>0.155</v>
      </c>
      <c r="E21" s="87">
        <f t="shared" ref="E21" si="4">C21-(C21*D21)</f>
        <v>67.388750000000002</v>
      </c>
      <c r="F21" s="114" t="s">
        <v>90</v>
      </c>
      <c r="G21" s="67">
        <v>0</v>
      </c>
      <c r="H21" s="67">
        <v>0</v>
      </c>
      <c r="I21" s="68">
        <v>0</v>
      </c>
      <c r="J21" s="67" t="s">
        <v>13</v>
      </c>
      <c r="K21" s="63"/>
    </row>
    <row r="22" spans="1:11" x14ac:dyDescent="0.15">
      <c r="A22" s="82" t="s">
        <v>26</v>
      </c>
      <c r="B22" s="97">
        <f>B21+B20+B16</f>
        <v>691</v>
      </c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" thickBot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" thickBot="1" x14ac:dyDescent="0.2">
      <c r="A24" s="192" t="s">
        <v>97</v>
      </c>
      <c r="B24" s="193"/>
      <c r="C24" s="193"/>
      <c r="D24" s="193"/>
      <c r="E24" s="194"/>
      <c r="F24" s="63"/>
      <c r="G24" s="63"/>
      <c r="H24" s="63"/>
      <c r="I24" s="63"/>
      <c r="J24" s="63"/>
      <c r="K24" s="63"/>
    </row>
    <row r="25" spans="1:11" x14ac:dyDescent="0.15">
      <c r="A25" s="195" t="s">
        <v>53</v>
      </c>
      <c r="B25" s="73" t="s">
        <v>14</v>
      </c>
      <c r="C25" s="73"/>
      <c r="D25" s="73"/>
      <c r="E25" s="73" t="s">
        <v>15</v>
      </c>
      <c r="F25" s="63"/>
      <c r="G25" s="63"/>
      <c r="H25" s="63"/>
      <c r="I25" s="63"/>
      <c r="J25" s="63"/>
      <c r="K25" s="63"/>
    </row>
    <row r="26" spans="1:11" ht="34.5" customHeight="1" thickBot="1" x14ac:dyDescent="0.2">
      <c r="A26" s="196"/>
      <c r="B26" s="71" t="s">
        <v>54</v>
      </c>
      <c r="C26" s="71"/>
      <c r="D26" s="71"/>
      <c r="E26" s="71" t="s">
        <v>57</v>
      </c>
      <c r="F26" s="63"/>
      <c r="G26" s="63"/>
      <c r="H26" s="63"/>
      <c r="I26" s="63"/>
      <c r="J26" s="63"/>
      <c r="K26" s="63"/>
    </row>
    <row r="27" spans="1:11" ht="66" customHeight="1" x14ac:dyDescent="0.15">
      <c r="A27" s="197" t="s">
        <v>56</v>
      </c>
      <c r="B27" s="217" t="s">
        <v>108</v>
      </c>
      <c r="C27" s="63"/>
      <c r="D27" s="133"/>
      <c r="E27" s="116" t="s">
        <v>98</v>
      </c>
      <c r="F27" s="63"/>
      <c r="G27" s="63"/>
      <c r="H27" s="63"/>
      <c r="I27" s="63"/>
      <c r="J27" s="63"/>
      <c r="K27" s="63"/>
    </row>
    <row r="28" spans="1:11" ht="20.25" customHeight="1" x14ac:dyDescent="0.15">
      <c r="A28" s="198"/>
      <c r="B28" s="201"/>
      <c r="C28" s="116"/>
      <c r="D28" s="131"/>
      <c r="E28" s="88" t="s">
        <v>27</v>
      </c>
      <c r="F28" s="63"/>
      <c r="G28" s="63"/>
      <c r="H28" s="63"/>
      <c r="I28" s="63"/>
      <c r="J28" s="63"/>
      <c r="K28" s="63"/>
    </row>
    <row r="29" spans="1:11" ht="12" thickBot="1" x14ac:dyDescent="0.2">
      <c r="A29" s="199"/>
      <c r="B29" s="202"/>
      <c r="C29" s="69"/>
      <c r="D29" s="132"/>
      <c r="E29" s="69"/>
      <c r="F29" s="135"/>
      <c r="G29" s="135"/>
      <c r="H29" s="135"/>
      <c r="I29" s="63"/>
      <c r="J29" s="63"/>
      <c r="K29" s="63"/>
    </row>
    <row r="30" spans="1:11" ht="34.5" customHeight="1" thickBot="1" x14ac:dyDescent="0.2">
      <c r="A30" s="75" t="s">
        <v>25</v>
      </c>
      <c r="B30" s="76">
        <f>G16*$B$9/$B$8</f>
        <v>369.99999999999994</v>
      </c>
      <c r="C30" s="94"/>
      <c r="D30" s="90"/>
      <c r="E30" s="76">
        <v>0</v>
      </c>
      <c r="F30" s="63"/>
      <c r="G30" s="63"/>
      <c r="H30" s="63"/>
      <c r="I30" s="63"/>
      <c r="J30" s="63"/>
      <c r="K30" s="63"/>
    </row>
    <row r="31" spans="1:11" ht="34.5" customHeight="1" thickBot="1" x14ac:dyDescent="0.2">
      <c r="A31" s="27"/>
      <c r="B31" s="28"/>
      <c r="C31" s="29" t="s">
        <v>59</v>
      </c>
      <c r="D31" s="30" t="s">
        <v>22</v>
      </c>
      <c r="E31" s="32" t="s">
        <v>23</v>
      </c>
      <c r="F31" s="63"/>
      <c r="G31" s="63"/>
      <c r="H31" s="63"/>
      <c r="I31" s="63"/>
      <c r="J31" s="63"/>
      <c r="K31" s="63"/>
    </row>
    <row r="32" spans="1:11" ht="23.25" customHeight="1" thickBot="1" x14ac:dyDescent="0.2">
      <c r="A32" s="162" t="s">
        <v>58</v>
      </c>
      <c r="B32" s="163">
        <f>B30*$B$8/$B$9</f>
        <v>36.999999999999993</v>
      </c>
      <c r="C32" s="164">
        <f>INT(B32)</f>
        <v>37</v>
      </c>
      <c r="D32" s="163">
        <f>B32-C32</f>
        <v>0</v>
      </c>
      <c r="E32" s="165">
        <f>ROUNDDOWN(D32*$B$9/$B$8,2)</f>
        <v>0</v>
      </c>
      <c r="F32" s="63"/>
      <c r="G32" s="63"/>
      <c r="H32" s="63"/>
      <c r="I32" s="63"/>
      <c r="J32" s="63"/>
      <c r="K32" s="63"/>
    </row>
    <row r="33" spans="1:11" x14ac:dyDescent="0.15">
      <c r="A33" s="72"/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ht="12" thickBot="1" x14ac:dyDescent="0.2">
      <c r="A34" s="75" t="s">
        <v>25</v>
      </c>
      <c r="B34" s="76">
        <f>G20*$B$9/$B$8</f>
        <v>179.99999999999997</v>
      </c>
      <c r="C34" s="94"/>
      <c r="D34" s="90"/>
      <c r="E34" s="137">
        <v>0</v>
      </c>
      <c r="F34" s="40"/>
      <c r="G34" s="139"/>
      <c r="H34" s="140"/>
      <c r="I34" s="140"/>
      <c r="J34" s="140"/>
      <c r="K34" s="139"/>
    </row>
    <row r="35" spans="1:11" ht="23.25" thickBot="1" x14ac:dyDescent="0.2">
      <c r="A35" s="27"/>
      <c r="B35" s="28"/>
      <c r="C35" s="29" t="s">
        <v>59</v>
      </c>
      <c r="D35" s="30" t="s">
        <v>22</v>
      </c>
      <c r="E35" s="138" t="s">
        <v>23</v>
      </c>
      <c r="F35" s="40"/>
      <c r="G35" s="139"/>
      <c r="H35" s="139"/>
      <c r="I35" s="139"/>
      <c r="J35" s="139"/>
      <c r="K35" s="139"/>
    </row>
    <row r="36" spans="1:11" ht="12" thickBot="1" x14ac:dyDescent="0.2">
      <c r="A36" s="162" t="s">
        <v>58</v>
      </c>
      <c r="B36" s="163">
        <f>B34*$B$8/$B$9</f>
        <v>17.999999999999996</v>
      </c>
      <c r="C36" s="164">
        <f>INT(B36)</f>
        <v>18</v>
      </c>
      <c r="D36" s="163">
        <f>B36-C36</f>
        <v>0</v>
      </c>
      <c r="E36" s="167">
        <f>ROUNDDOWN(D36*$B$9/$B$8,2)</f>
        <v>0</v>
      </c>
      <c r="F36" s="141"/>
      <c r="G36" s="139"/>
      <c r="H36" s="139"/>
      <c r="I36" s="139"/>
      <c r="J36" s="139"/>
      <c r="K36" s="139"/>
    </row>
    <row r="37" spans="1:11" x14ac:dyDescent="0.15">
      <c r="A37" s="63"/>
      <c r="B37" s="63"/>
      <c r="C37" s="63"/>
      <c r="D37" s="63"/>
      <c r="E37" s="63"/>
      <c r="F37" s="63"/>
      <c r="G37" s="63"/>
      <c r="H37" s="63"/>
      <c r="I37" s="63"/>
      <c r="J37" s="63"/>
    </row>
    <row r="38" spans="1:11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</row>
    <row r="39" spans="1:11" x14ac:dyDescent="0.15">
      <c r="A39" s="63"/>
      <c r="B39" s="63"/>
      <c r="C39" s="63"/>
      <c r="D39" s="63"/>
      <c r="E39" s="63"/>
      <c r="F39" s="63"/>
      <c r="G39" s="63"/>
      <c r="H39" s="63"/>
      <c r="I39" s="63"/>
      <c r="J39" s="63"/>
    </row>
    <row r="40" spans="1:11" x14ac:dyDescent="0.15">
      <c r="A40" s="142" t="s">
        <v>109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1" x14ac:dyDescent="0.15">
      <c r="A41" s="142" t="s">
        <v>110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1" ht="22.5" x14ac:dyDescent="0.15">
      <c r="A42" s="143" t="s">
        <v>111</v>
      </c>
      <c r="B42" s="143" t="s">
        <v>112</v>
      </c>
      <c r="C42" s="143" t="s">
        <v>113</v>
      </c>
      <c r="D42" s="143" t="s">
        <v>114</v>
      </c>
      <c r="E42" s="143" t="s">
        <v>115</v>
      </c>
      <c r="F42" s="63"/>
      <c r="G42" s="63"/>
      <c r="H42" s="63"/>
      <c r="I42" s="63"/>
      <c r="J42" s="63"/>
    </row>
    <row r="43" spans="1:11" x14ac:dyDescent="0.15">
      <c r="A43" s="144">
        <v>190</v>
      </c>
      <c r="B43" s="145">
        <f>A43*$B$8</f>
        <v>104.50000000000001</v>
      </c>
      <c r="C43" s="146">
        <f>G20</f>
        <v>18</v>
      </c>
      <c r="D43" s="145">
        <f>C43*$B$9</f>
        <v>99</v>
      </c>
      <c r="E43" s="145">
        <f>B43-D43</f>
        <v>5.5000000000000142</v>
      </c>
      <c r="F43" s="63"/>
      <c r="G43" s="63"/>
      <c r="H43" s="63"/>
      <c r="I43" s="63"/>
      <c r="J43" s="63"/>
    </row>
    <row r="44" spans="1:11" x14ac:dyDescent="0.15">
      <c r="A44" s="63"/>
      <c r="B44" s="63"/>
      <c r="C44" s="63"/>
      <c r="D44" s="63"/>
      <c r="E44" s="63"/>
      <c r="F44" s="63"/>
      <c r="G44" s="63"/>
      <c r="H44" s="63"/>
      <c r="I44" s="63"/>
      <c r="J44" s="63"/>
    </row>
    <row r="45" spans="1:11" x14ac:dyDescent="0.15">
      <c r="A45" s="142" t="s">
        <v>116</v>
      </c>
      <c r="B45" s="142" t="s">
        <v>117</v>
      </c>
      <c r="C45" s="142"/>
      <c r="D45" s="63"/>
      <c r="E45" s="63"/>
      <c r="F45" s="63"/>
      <c r="G45" s="63"/>
      <c r="H45" s="63"/>
      <c r="I45" s="63"/>
      <c r="J45" s="63"/>
    </row>
    <row r="46" spans="1:11" x14ac:dyDescent="0.15">
      <c r="A46" s="142" t="s">
        <v>118</v>
      </c>
      <c r="B46" s="142"/>
      <c r="C46" s="142"/>
      <c r="D46" s="63"/>
      <c r="E46" s="63"/>
      <c r="F46" s="63"/>
      <c r="G46" s="63"/>
      <c r="H46" s="63"/>
      <c r="I46" s="63"/>
      <c r="J46" s="63"/>
    </row>
    <row r="47" spans="1:11" x14ac:dyDescent="0.15">
      <c r="A47" s="144" t="s">
        <v>14</v>
      </c>
      <c r="B47" s="143" t="s">
        <v>112</v>
      </c>
      <c r="C47" s="144" t="s">
        <v>58</v>
      </c>
      <c r="D47" s="143" t="s">
        <v>114</v>
      </c>
      <c r="E47" s="143" t="s">
        <v>115</v>
      </c>
      <c r="F47" s="63"/>
      <c r="G47" s="63"/>
      <c r="H47" s="63"/>
      <c r="I47" s="63"/>
      <c r="J47" s="63"/>
    </row>
    <row r="48" spans="1:11" x14ac:dyDescent="0.15">
      <c r="A48" s="144">
        <v>190</v>
      </c>
      <c r="B48" s="145">
        <f>A48*$B$8</f>
        <v>104.50000000000001</v>
      </c>
      <c r="C48" s="146">
        <v>19</v>
      </c>
      <c r="D48" s="145">
        <f>C48*$B$9</f>
        <v>104.5</v>
      </c>
      <c r="E48" s="145">
        <f>B48-D48</f>
        <v>0</v>
      </c>
      <c r="F48" s="63"/>
      <c r="G48" s="63"/>
      <c r="H48" s="63"/>
      <c r="I48" s="63"/>
      <c r="J48" s="63"/>
    </row>
    <row r="49" spans="1:10" x14ac:dyDescent="0.15">
      <c r="A49" s="63"/>
      <c r="B49" s="63"/>
      <c r="C49" s="63"/>
      <c r="D49" s="63"/>
      <c r="F49" s="63"/>
      <c r="G49" s="63"/>
      <c r="H49" s="63"/>
      <c r="I49" s="63"/>
      <c r="J49" s="63"/>
    </row>
    <row r="50" spans="1:10" s="63" customFormat="1" x14ac:dyDescent="0.15">
      <c r="E50" s="63" t="s">
        <v>123</v>
      </c>
    </row>
    <row r="51" spans="1:10" s="63" customFormat="1" x14ac:dyDescent="0.15"/>
    <row r="52" spans="1:10" x14ac:dyDescent="0.15">
      <c r="A52" s="147" t="s">
        <v>116</v>
      </c>
      <c r="B52" s="147" t="s">
        <v>119</v>
      </c>
      <c r="C52" s="147"/>
      <c r="D52" s="148"/>
      <c r="E52" s="148"/>
      <c r="F52" s="63"/>
      <c r="G52" s="63"/>
      <c r="H52" s="63"/>
      <c r="I52" s="63"/>
      <c r="J52" s="63"/>
    </row>
    <row r="53" spans="1:10" x14ac:dyDescent="0.15">
      <c r="A53" s="147" t="s">
        <v>118</v>
      </c>
      <c r="B53" s="147"/>
      <c r="C53" s="147"/>
      <c r="D53" s="148"/>
      <c r="E53" s="148"/>
      <c r="F53" s="63"/>
      <c r="G53" s="63"/>
      <c r="H53" s="63"/>
      <c r="I53" s="63"/>
      <c r="J53" s="63"/>
    </row>
    <row r="54" spans="1:10" x14ac:dyDescent="0.15">
      <c r="A54" s="149" t="s">
        <v>14</v>
      </c>
      <c r="B54" s="150" t="s">
        <v>112</v>
      </c>
      <c r="C54" s="149" t="s">
        <v>58</v>
      </c>
      <c r="D54" s="150" t="s">
        <v>114</v>
      </c>
      <c r="E54" s="150" t="s">
        <v>115</v>
      </c>
      <c r="F54" s="63"/>
      <c r="G54" s="63"/>
      <c r="H54" s="63"/>
      <c r="I54" s="63"/>
      <c r="J54" s="63"/>
    </row>
    <row r="55" spans="1:10" x14ac:dyDescent="0.15">
      <c r="A55" s="149">
        <v>180</v>
      </c>
      <c r="B55" s="151">
        <f>A55*$B$8</f>
        <v>99.000000000000014</v>
      </c>
      <c r="C55" s="152">
        <v>18</v>
      </c>
      <c r="D55" s="151">
        <f>C55*$B$9</f>
        <v>99</v>
      </c>
      <c r="E55" s="151">
        <f>B55-D55</f>
        <v>0</v>
      </c>
      <c r="F55" s="63"/>
      <c r="G55" s="63"/>
      <c r="H55" s="63"/>
      <c r="I55" s="63"/>
      <c r="J55" s="63"/>
    </row>
    <row r="57" spans="1:10" x14ac:dyDescent="0.15">
      <c r="A57" s="142" t="s">
        <v>109</v>
      </c>
      <c r="B57" s="63"/>
      <c r="C57" s="63"/>
      <c r="D57" s="63"/>
      <c r="E57" s="63"/>
    </row>
    <row r="58" spans="1:10" x14ac:dyDescent="0.15">
      <c r="A58" s="142" t="s">
        <v>120</v>
      </c>
      <c r="B58" s="63"/>
      <c r="C58" s="63"/>
      <c r="D58" s="63"/>
      <c r="E58" s="63"/>
    </row>
    <row r="59" spans="1:10" ht="22.5" x14ac:dyDescent="0.15">
      <c r="A59" s="143" t="s">
        <v>111</v>
      </c>
      <c r="B59" s="143" t="s">
        <v>112</v>
      </c>
      <c r="C59" s="143" t="s">
        <v>113</v>
      </c>
      <c r="D59" s="143" t="s">
        <v>114</v>
      </c>
      <c r="E59" s="143" t="s">
        <v>115</v>
      </c>
    </row>
    <row r="60" spans="1:10" x14ac:dyDescent="0.15">
      <c r="A60" s="144">
        <v>356</v>
      </c>
      <c r="B60" s="145">
        <f>A60*$B$8</f>
        <v>195.8</v>
      </c>
      <c r="C60" s="146">
        <f>G16</f>
        <v>37</v>
      </c>
      <c r="D60" s="145">
        <f>C60*$B$9</f>
        <v>203.5</v>
      </c>
      <c r="E60" s="145">
        <f>B60-D60</f>
        <v>-7.6999999999999886</v>
      </c>
    </row>
    <row r="61" spans="1:10" x14ac:dyDescent="0.15">
      <c r="A61" s="63"/>
      <c r="B61" s="63"/>
      <c r="C61" s="63"/>
      <c r="D61" s="63"/>
      <c r="E61" s="63"/>
    </row>
    <row r="62" spans="1:10" x14ac:dyDescent="0.15">
      <c r="A62" s="142" t="s">
        <v>116</v>
      </c>
      <c r="B62" s="142" t="s">
        <v>117</v>
      </c>
      <c r="C62" s="142"/>
      <c r="D62" s="63"/>
      <c r="E62" s="63"/>
    </row>
    <row r="63" spans="1:10" x14ac:dyDescent="0.15">
      <c r="A63" s="142" t="s">
        <v>118</v>
      </c>
      <c r="B63" s="142"/>
      <c r="C63" s="142"/>
      <c r="D63" s="63"/>
      <c r="E63" s="63"/>
    </row>
    <row r="64" spans="1:10" x14ac:dyDescent="0.15">
      <c r="A64" s="144" t="s">
        <v>14</v>
      </c>
      <c r="B64" s="143" t="s">
        <v>112</v>
      </c>
      <c r="C64" s="144" t="s">
        <v>58</v>
      </c>
      <c r="D64" s="144" t="s">
        <v>122</v>
      </c>
      <c r="E64" s="143" t="s">
        <v>114</v>
      </c>
      <c r="F64" s="144" t="s">
        <v>2</v>
      </c>
    </row>
    <row r="65" spans="1:6" x14ac:dyDescent="0.15">
      <c r="A65" s="144">
        <v>356</v>
      </c>
      <c r="B65" s="144">
        <f>A65*0.55</f>
        <v>195.8</v>
      </c>
      <c r="C65" s="144">
        <f>A65*$B$8/$B$9</f>
        <v>35.6</v>
      </c>
      <c r="D65" s="144">
        <v>36</v>
      </c>
      <c r="E65" s="145">
        <f>D65*$B$9</f>
        <v>198</v>
      </c>
      <c r="F65" s="145">
        <f>B65-E65</f>
        <v>-2.1999999999999886</v>
      </c>
    </row>
    <row r="66" spans="1:6" x14ac:dyDescent="0.15">
      <c r="A66" s="63"/>
      <c r="B66" s="63"/>
      <c r="C66" s="63"/>
      <c r="D66" s="63"/>
      <c r="E66" s="63"/>
      <c r="F66" s="63"/>
    </row>
    <row r="67" spans="1:6" s="63" customFormat="1" x14ac:dyDescent="0.15">
      <c r="F67" s="63" t="s">
        <v>123</v>
      </c>
    </row>
    <row r="68" spans="1:6" s="63" customFormat="1" x14ac:dyDescent="0.15"/>
    <row r="69" spans="1:6" x14ac:dyDescent="0.15">
      <c r="A69" s="147" t="s">
        <v>116</v>
      </c>
      <c r="B69" s="147" t="s">
        <v>119</v>
      </c>
      <c r="C69" s="147"/>
      <c r="D69" s="148"/>
      <c r="E69" s="148"/>
      <c r="F69" s="148"/>
    </row>
    <row r="70" spans="1:6" x14ac:dyDescent="0.15">
      <c r="A70" s="147" t="s">
        <v>118</v>
      </c>
      <c r="B70" s="147"/>
      <c r="C70" s="147"/>
      <c r="D70" s="148"/>
      <c r="E70" s="148"/>
      <c r="F70" s="148"/>
    </row>
    <row r="71" spans="1:6" x14ac:dyDescent="0.15">
      <c r="A71" s="149" t="s">
        <v>14</v>
      </c>
      <c r="B71" s="150" t="s">
        <v>112</v>
      </c>
      <c r="C71" s="149" t="s">
        <v>58</v>
      </c>
      <c r="D71" s="149" t="s">
        <v>122</v>
      </c>
      <c r="E71" s="150" t="s">
        <v>114</v>
      </c>
      <c r="F71" s="149" t="s">
        <v>2</v>
      </c>
    </row>
    <row r="72" spans="1:6" x14ac:dyDescent="0.15">
      <c r="A72" s="149">
        <v>370</v>
      </c>
      <c r="B72" s="149">
        <f>A72*0.55</f>
        <v>203.50000000000003</v>
      </c>
      <c r="C72" s="149">
        <f>A72*$B$8/$B$9</f>
        <v>37.000000000000007</v>
      </c>
      <c r="D72" s="149">
        <v>37</v>
      </c>
      <c r="E72" s="151">
        <f>D72*$B$9</f>
        <v>203.5</v>
      </c>
      <c r="F72" s="151">
        <f>B72-E72</f>
        <v>0</v>
      </c>
    </row>
  </sheetData>
  <mergeCells count="12">
    <mergeCell ref="H12:H13"/>
    <mergeCell ref="I12:I13"/>
    <mergeCell ref="A24:E24"/>
    <mergeCell ref="A25:A26"/>
    <mergeCell ref="A27:A29"/>
    <mergeCell ref="B27:B29"/>
    <mergeCell ref="A12:A13"/>
    <mergeCell ref="B12:B13"/>
    <mergeCell ref="D12:D13"/>
    <mergeCell ref="E12:E13"/>
    <mergeCell ref="F12:F13"/>
    <mergeCell ref="G12:G13"/>
  </mergeCells>
  <pageMargins left="0.7" right="0.7" top="0.75" bottom="0.75" header="0.3" footer="0.3"/>
  <pageSetup orientation="portrait" r:id="rId1"/>
  <headerFooter differentOddEven="1">
    <oddFooter>&amp;L&amp;"Arial,Regular"&amp;9Information Classification: Limited Access</oddFooter>
    <evenFooter>&amp;L&amp;"Arial,Regular"&amp;9Information Classification: Limited Access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Gross without fractions  </vt:lpstr>
      <vt:lpstr>Gross with fractions </vt:lpstr>
      <vt:lpstr>Gross and Net</vt:lpstr>
      <vt:lpstr>one client in account T2S</vt:lpstr>
      <vt:lpstr>Example with RDUQ</vt:lpstr>
      <vt:lpstr>Justification </vt:lpstr>
    </vt:vector>
  </TitlesOfParts>
  <Company>Natixis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Dominique</dc:creator>
  <cp:keywords>Limited Access</cp:keywords>
  <cp:lastModifiedBy>LITTRE Jacques</cp:lastModifiedBy>
  <cp:lastPrinted>2017-08-29T15:25:12Z</cp:lastPrinted>
  <dcterms:created xsi:type="dcterms:W3CDTF">2017-08-07T14:21:51Z</dcterms:created>
  <dcterms:modified xsi:type="dcterms:W3CDTF">2018-05-03T09:16:21Z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907f4ed3-0b94-4da2-a1f7-bf1760a29134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</Properties>
</file>